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0OgPC3Dr/5PyGsub9nY9lcOUf9yUhbo4vGhWExavmDLoFSAOdrqrofrcHe3OSub7XC7pofQNn5kY2GooVi4CUQ==" workbookSaltValue="VRbq9pqltpd/6ekbrVY1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H16" i="11"/>
  <c r="BJ16" i="11"/>
  <c r="T13" i="20"/>
  <c r="BF15" i="8"/>
  <c r="BF9" i="8"/>
  <c r="AU18" i="21"/>
  <c r="AH13" i="16"/>
  <c r="L12" i="2"/>
  <c r="L17" i="2"/>
  <c r="X15" i="16"/>
  <c r="X18" i="16" s="1"/>
  <c r="V10" i="16"/>
  <c r="AP13" i="16"/>
  <c r="T18" i="17"/>
  <c r="BG15" i="13"/>
  <c r="BE16" i="13"/>
  <c r="BE15" i="13"/>
  <c r="AX20" i="20"/>
  <c r="B18" i="7" l="1"/>
  <c r="S19" i="8"/>
  <c r="T9" i="11"/>
  <c r="V9" i="16"/>
  <c r="L9" i="2"/>
  <c r="U9" i="17"/>
  <c r="U19" i="17" s="1"/>
  <c r="X10" i="21"/>
  <c r="L16" i="2"/>
  <c r="L15" i="2"/>
  <c r="L10" i="2"/>
  <c r="BL16" i="11"/>
  <c r="AQ12" i="21"/>
  <c r="BM17" i="11"/>
  <c r="AQ10" i="21"/>
  <c r="BG12" i="11"/>
  <c r="BW10" i="20"/>
  <c r="BW12" i="20"/>
  <c r="BU11" i="17"/>
  <c r="BK17" i="11"/>
  <c r="BJ12" i="11"/>
  <c r="BM12" i="11"/>
  <c r="BF10" i="11"/>
  <c r="BM16" i="11"/>
  <c r="BH11" i="16"/>
  <c r="B9" i="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0" i="11"/>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D19" i="12"/>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<sst xmlns="http://schemas.openxmlformats.org/spreadsheetml/2006/main" count="2074" uniqueCount="909">
  <si>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</si>
  <si>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</si>
  <si>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</si>
  <si>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</si>
  <si>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</si>
  <si>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</si>
  <si>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</si>
  <si>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</si>
  <si>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</si>
  <si>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</si>
  <si>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</si>
  <si>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</si>
  <si>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</si>
  <si>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</si>
  <si>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</si>
  <si>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</si>
  <si>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</si>
  <si>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</si>
  <si>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</si>
  <si>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</si>
  <si>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</si>
  <si>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</si>
  <si>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</si>
  <si>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</si>
  <si>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</si>
  <si>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</si>
  <si>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</si>
  <si>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</si>
  <si>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</si>
  <si>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</si>
  <si>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</si>
  <si>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</si>
  <si>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</si>
  <si>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</si>
  <si>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</si>
  <si>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</si>
  <si>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</si>
  <si>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</si>
  <si>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</si>
  <si>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</si>
  <si>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</si>
  <si>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</si>
  <si>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</si>
  <si>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</si>
  <si>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</si>
  <si>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</si>
  <si>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</si>
  <si>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</si>
  <si>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</si>
  <si>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</si>
  <si>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</si>
  <si>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</si>
  <si>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</si>
  <si>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</si>
  <si>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</si>
  <si>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</si>
  <si>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</si>
  <si>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</si>
  <si>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</si>
  <si>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</si>
  <si>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</si>
  <si>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</si>
  <si>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</si>
  <si>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</si>
  <si>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</si>
  <si>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</si>
  <si>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</si>
  <si>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</si>
  <si>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</si>
  <si>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</si>
  <si>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</si>
  <si>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</si>
  <si>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</si>
  <si>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</si>
  <si>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</si>
  <si>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</si>
  <si>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</si>
  <si>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</si>
  <si>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</si>
  <si>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</si>
  <si>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</si>
  <si>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</si>
  <si>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</si>
  <si>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</si>
  <si>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</si>
  <si>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</si>
  <si>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</si>
  <si>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</si>
  <si>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</si>
  <si>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</si>
  <si>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</si>
  <si>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</si>
  <si>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</si>
  <si>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</si>
  <si>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</si>
  <si>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</si>
  <si>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</si>
  <si>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</si>
  <si>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</si>
  <si>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</si>
  <si>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</si>
  <si>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</si>
  <si>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</si>
  <si>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</si>
  <si>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</si>
  <si>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</si>
  <si>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</si>
  <si>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</si>
  <si>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</si>
  <si>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</si>
  <si>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</si>
  <si>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</si>
  <si>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</si>
  <si>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</si>
  <si>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</si>
  <si>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</si>
  <si>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</si>
  <si>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</si>
  <si>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</si>
  <si>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</si>
  <si>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</si>
  <si>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</si>
  <si>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</si>
  <si>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</si>
  <si>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</si>
  <si>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</si>
  <si>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</si>
  <si>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</si>
  <si>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</si>
  <si>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</si>
  <si>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</si>
  <si>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</si>
  <si>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</si>
  <si>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</si>
  <si>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</si>
  <si>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</si>
  <si>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</si>
  <si>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</si>
  <si>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</si>
  <si>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</si>
  <si>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</si>
  <si>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</si>
  <si>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</si>
  <si>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</si>
  <si>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</si>
  <si>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</si>
  <si>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</si>
  <si>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</si>
  <si>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</si>
  <si>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</si>
  <si>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</si>
  <si>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</si>
  <si>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</si>
  <si>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</si>
  <si>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</si>
  <si>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</si>
  <si>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</si>
  <si>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</si>
  <si>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</si>
  <si>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</si>
  <si>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</si>
  <si>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</si>
  <si>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</si>
  <si>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</si>
  <si>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</si>
  <si>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</si>
  <si>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</si>
  <si>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</si>
  <si>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</si>
  <si>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</si>
  <si>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</si>
  <si>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</si>
  <si>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</si>
  <si>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</si>
  <si>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</si>
  <si>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</si>
  <si>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</si>
  <si>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</si>
  <si>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</si>
  <si>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</si>
  <si>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</si>
  <si>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</si>
  <si>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</si>
  <si>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</si>
  <si>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</si>
  <si>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</si>
  <si>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</si>
  <si>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</si>
  <si>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</si>
  <si>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</si>
  <si>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</si>
  <si>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</si>
  <si>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</si>
  <si>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</si>
  <si>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</si>
  <si>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</si>
  <si>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</si>
  <si>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</si>
  <si>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</si>
  <si>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</si>
  <si>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</si>
  <si>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</si>
  <si>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</si>
  <si>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</si>
  <si>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</si>
  <si>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</si>
  <si>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</si>
  <si>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</si>
  <si>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</si>
  <si>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</si>
  <si>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</si>
  <si>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</si>
  <si>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</si>
  <si>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</si>
  <si>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</si>
  <si>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</si>
  <si>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</si>
  <si>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</si>
  <si>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</si>
  <si>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</si>
  <si>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</si>
  <si>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</si>
  <si>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</si>
  <si>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</si>
  <si>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</si>
  <si>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</si>
  <si>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</si>
  <si>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</si>
  <si>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</si>
  <si>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</si>
  <si>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</si>
  <si>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</si>
  <si>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</si>
  <si>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</si>
  <si>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</si>
  <si>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</si>
  <si>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</si>
  <si>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</si>
  <si>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</si>
  <si>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</si>
  <si>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</si>
  <si>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</si>
  <si>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</si>
  <si>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</si>
  <si>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</si>
  <si>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</si>
  <si>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</si>
  <si>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</si>
  <si>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</si>
  <si>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</si>
  <si>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</si>
  <si>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</si>
  <si>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</si>
  <si>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</si>
  <si>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</si>
  <si>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</si>
  <si>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</si>
  <si>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</si>
  <si>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</si>
  <si>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</si>
  <si>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</si>
  <si>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</si>
  <si>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</si>
  <si>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</si>
  <si>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</si>
  <si>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</si>
  <si>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</si>
  <si>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</si>
  <si>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</si>
  <si>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</si>
  <si>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</si>
  <si>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</si>
  <si>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</si>
  <si>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</si>
  <si>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</si>
  <si>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</si>
  <si>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</si>
  <si>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</si>
  <si>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</si>
  <si>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</si>
  <si>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</si>
  <si>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</si>
  <si>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</si>
  <si>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</si>
  <si>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</si>
  <si>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</si>
  <si>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</si>
  <si>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</si>
  <si>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</si>
  <si>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</si>
  <si>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</si>
  <si>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</si>
  <si>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</si>
  <si>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</si>
  <si>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</si>
  <si>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</si>
  <si>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</si>
  <si>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</si>
  <si>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</si>
  <si>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</si>
  <si>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</si>
  <si>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</si>
  <si>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</si>
  <si>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</si>
  <si>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</si>
  <si>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</si>
  <si>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</si>
  <si>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</si>
  <si>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</si>
  <si>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</si>
  <si>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</si>
  <si>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</si>
  <si>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</si>
  <si>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</si>
  <si>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</si>
  <si>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</si>
  <si>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</si>
  <si>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</si>
  <si>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</si>
  <si>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</si>
  <si>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</si>
  <si>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</si>
  <si>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</si>
  <si>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</si>
  <si>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</si>
  <si>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</si>
  <si>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</si>
  <si>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</si>
  <si>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</si>
  <si>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</si>
  <si>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</si>
  <si>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</si>
  <si>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</si>
  <si>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</si>
  <si>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</si>
  <si>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</si>
  <si>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</si>
  <si>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</si>
  <si>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</si>
  <si>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</si>
  <si>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</si>
  <si>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</si>
  <si>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</si>
  <si>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</si>
  <si>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</si>
  <si>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</si>
  <si>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</si>
  <si>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</si>
  <si>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</si>
  <si>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</si>
  <si>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</si>
  <si>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</si>
  <si>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</si>
  <si>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</si>
  <si>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</si>
  <si>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</si>
  <si>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</si>
  <si>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</si>
  <si>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</si>
  <si>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</si>
  <si>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</si>
  <si>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</si>
  <si>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</si>
  <si>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</si>
  <si>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</si>
  <si>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</si>
  <si>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</si>
  <si>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</si>
  <si>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</si>
  <si>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</si>
  <si>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</si>
  <si>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</si>
  <si>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</si>
  <si>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</si>
  <si>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</si>
  <si>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</si>
  <si>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</si>
  <si>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</si>
  <si>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</si>
  <si>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</si>
  <si>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</si>
  <si>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</si>
  <si>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</si>
  <si>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</si>
  <si>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</si>
  <si>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</si>
  <si>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</si>
  <si>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</si>
  <si>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</si>
  <si>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</si>
  <si>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</si>
  <si>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</si>
  <si>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</si>
  <si>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</si>
  <si>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</si>
  <si>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</si>
  <si>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</si>
  <si>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</si>
  <si>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</si>
  <si>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</si>
  <si>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</si>
  <si>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</si>
  <si>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</si>
  <si>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</si>
  <si>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</si>
  <si>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</si>
  <si>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</si>
  <si>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</si>
  <si>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</si>
  <si>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</si>
  <si>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</si>
  <si>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</si>
  <si>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</si>
  <si>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</si>
  <si>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</si>
  <si>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</si>
  <si>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</si>
  <si>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</si>
  <si>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</si>
  <si>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</si>
  <si>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</si>
  <si>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</si>
  <si>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</si>
  <si>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</si>
  <si>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</si>
  <si>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</si>
  <si>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</si>
  <si>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</si>
  <si>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</si>
  <si>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</si>
  <si>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</si>
  <si>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</si>
  <si>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</si>
  <si>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</si>
  <si>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</si>
  <si>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</si>
  <si>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</si>
  <si>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</si>
  <si>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</si>
  <si>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</si>
  <si>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</si>
  <si>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</si>
  <si>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</si>
  <si>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</si>
  <si>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</si>
  <si>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</si>
  <si>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</si>
  <si>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</si>
  <si>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</si>
  <si>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</si>
  <si>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</si>
  <si>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</si>
  <si>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</si>
  <si>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</si>
  <si>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</si>
  <si>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</si>
  <si>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</si>
  <si>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</si>
  <si>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</si>
  <si>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</si>
  <si>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</si>
  <si>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</si>
  <si>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</si>
  <si>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</si>
  <si>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</si>
  <si>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</si>
  <si>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</si>
  <si>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</si>
  <si>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</si>
  <si>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</si>
  <si>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</si>
  <si>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</si>
  <si>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</si>
  <si>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</si>
  <si>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</si>
  <si>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</si>
  <si>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</si>
  <si>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</si>
  <si>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</si>
  <si>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</si>
  <si>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</si>
  <si>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</si>
  <si>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</si>
  <si>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</si>
  <si>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</si>
  <si>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</si>
  <si>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</si>
  <si>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</si>
  <si>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</si>
  <si>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</si>
  <si>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</si>
  <si>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</si>
  <si>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</si>
  <si>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</si>
  <si>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</si>
  <si>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</si>
  <si>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</si>
  <si>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</si>
  <si>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</si>
  <si>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</si>
  <si>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</si>
  <si>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</si>
  <si>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</si>
  <si>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</si>
  <si>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</si>
  <si>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</si>
  <si>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</si>
  <si>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</si>
  <si>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</si>
  <si>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</si>
  <si>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</si>
  <si>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</si>
  <si>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</si>
  <si>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</si>
  <si>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</si>
  <si>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</si>
  <si>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</si>
  <si>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</si>
  <si>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</si>
  <si>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</si>
  <si>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</si>
  <si>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</si>
  <si>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</si>
  <si>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</si>
  <si>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</si>
  <si>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</si>
  <si>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</si>
  <si>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</si>
  <si>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</si>
  <si>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</si>
  <si>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</si>
  <si>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</si>
  <si>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</si>
  <si>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</si>
  <si>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</si>
  <si>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</si>
  <si>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</si>
  <si>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</si>
  <si>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</si>
  <si>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</si>
  <si>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</si>
  <si>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</si>
  <si>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</si>
  <si>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</si>
  <si>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</si>
  <si>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</si>
  <si>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</si>
  <si>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</si>
  <si>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</si>
  <si>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</si>
  <si>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</si>
  <si>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</si>
  <si>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</si>
  <si>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</si>
  <si>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</si>
  <si>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</si>
  <si>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</si>
  <si>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</si>
  <si>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</si>
  <si>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</si>
  <si>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</si>
  <si>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</si>
  <si>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</si>
  <si>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</si>
  <si>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</si>
  <si>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</si>
  <si>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</si>
  <si>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</si>
  <si>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</si>
  <si>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</si>
  <si>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</si>
  <si>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</si>
  <si>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</si>
  <si>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</si>
  <si>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</si>
  <si>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</si>
  <si>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</si>
  <si>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</si>
  <si>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</si>
  <si>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</si>
  <si>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</si>
  <si>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</si>
  <si>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</si>
  <si>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</si>
  <si>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</si>
  <si>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</si>
  <si>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</si>
  <si>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</si>
  <si>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</si>
  <si>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</si>
  <si>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</si>
  <si>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</si>
  <si>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</si>
  <si>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</si>
  <si>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</si>
  <si>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</si>
  <si>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</si>
  <si>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</si>
  <si>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</si>
  <si>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</si>
  <si>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</si>
  <si>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</si>
  <si>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</si>
  <si>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</si>
  <si>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</si>
  <si>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</si>
  <si>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</si>
  <si>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</si>
  <si>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</si>
  <si>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</si>
  <si>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</si>
  <si>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</si>
  <si>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</si>
  <si>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</si>
  <si>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</si>
  <si>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</si>
  <si>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</si>
  <si>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</si>
  <si>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</si>
  <si>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</si>
  <si>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</si>
  <si>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</si>
  <si>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</si>
  <si>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</si>
  <si>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</si>
  <si>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</si>
  <si>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</si>
  <si>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</si>
  <si>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</si>
  <si>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</si>
  <si>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</si>
  <si>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</si>
  <si>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</si>
  <si>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</si>
  <si>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</si>
  <si>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</si>
  <si>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</si>
  <si>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</si>
  <si>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</si>
  <si>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</si>
  <si>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</si>
  <si>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</si>
  <si>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</si>
  <si>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</si>
  <si>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</si>
  <si>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</si>
  <si>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</si>
  <si>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</si>
  <si>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</si>
  <si>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</si>
  <si>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</si>
  <si>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</si>
  <si>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</si>
  <si>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</si>
  <si>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</si>
  <si>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</si>
  <si>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</si>
  <si>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</si>
  <si>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</si>
  <si>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</si>
  <si>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</si>
  <si>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</si>
  <si>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</si>
  <si>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</si>
  <si>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</si>
  <si>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</si>
  <si>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</si>
  <si>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</si>
  <si>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</si>
  <si>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</si>
  <si>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</si>
  <si>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</si>
  <si>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</si>
  <si>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</si>
  <si>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</si>
  <si>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</si>
  <si>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</si>
  <si>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</si>
  <si>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</si>
  <si>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</si>
  <si>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</si>
  <si>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</si>
  <si>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</si>
  <si>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</si>
  <si>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</si>
  <si>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</si>
  <si>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</si>
  <si>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</si>
  <si>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</si>
  <si>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</si>
  <si>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</si>
  <si>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</si>
  <si>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</si>
  <si>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</si>
  <si>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</si>
  <si>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</si>
  <si>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</si>
  <si>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</si>
  <si>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</si>
  <si>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</si>
  <si>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</si>
  <si>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</si>
  <si>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</si>
  <si>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</si>
  <si>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</si>
  <si>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</si>
  <si>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</si>
  <si>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</si>
  <si>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</si>
  <si>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</si>
  <si>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</si>
  <si>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</si>
  <si>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</si>
  <si>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</si>
  <si>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</si>
  <si>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</si>
  <si>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</si>
  <si>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</si>
  <si>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</si>
  <si>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</si>
  <si>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</si>
  <si>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</si>
  <si>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</si>
  <si>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</si>
  <si>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</si>
  <si>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</si>
  <si>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</si>
  <si>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</si>
  <si>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</si>
  <si>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</si>
  <si>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</si>
  <si>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</si>
  <si>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</si>
  <si>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</si>
  <si>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</si>
  <si>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</si>
  <si>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</si>
  <si>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</si>
  <si>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</si>
  <si>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</si>
  <si>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</si>
  <si>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</si>
  <si>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</si>
  <si>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</si>
  <si>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</si>
  <si>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</si>
  <si>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</si>
  <si>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</si>
  <si>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</si>
  <si>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</si>
  <si>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</si>
  <si>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</si>
  <si>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</si>
  <si>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</si>
  <si>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</si>
  <si>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</si>
  <si>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</si>
  <si>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</si>
  <si>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</si>
  <si>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</si>
  <si>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</si>
  <si>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</si>
  <si>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</si>
  <si>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</si>
  <si>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</si>
  <si>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</si>
  <si>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</si>
  <si>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</si>
  <si>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</si>
  <si>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</si>
  <si>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</si>
  <si>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</si>
  <si>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</si>
  <si>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</si>
  <si>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</si>
  <si>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</si>
  <si>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</si>
  <si>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</si>
  <si>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</si>
  <si>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</si>
  <si>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</si>
  <si>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</si>
  <si>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</si>
  <si>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</si>
  <si>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</si>
  <si>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</si>
  <si>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</si>
  <si>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</si>
  <si>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</si>
  <si>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</si>
  <si>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</si>
  <si>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</si>
  <si>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</si>
  <si>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</si>
  <si>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</si>
  <si>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</si>
  <si>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</si>
  <si>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</si>
  <si>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</si>
  <si>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</si>
  <si>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</si>
  <si>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</si>
  <si>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</si>
  <si>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</si>
  <si>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</si>
  <si>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</si>
  <si>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</si>
  <si>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</si>
  <si>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</si>
  <si>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</si>
  <si>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</si>
  <si>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</si>
  <si>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</si>
  <si>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</si>
  <si>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</si>
  <si>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</si>
  <si>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</si>
  <si>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</si>
  <si>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</si>
  <si>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</si>
  <si>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</si>
  <si>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</si>
  <si>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</si>
  <si>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</si>
  <si>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</si>
  <si>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</si>
  <si>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</si>
  <si>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</si>
  <si>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</si>
  <si>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</si>
  <si>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</si>
  <si>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</si>
  <si>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</si>
  <si>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</si>
  <si>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</si>
  <si>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</si>
  <si>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</si>
  <si>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</si>
  <si>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</si>
  <si>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</si>
  <si>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</si>
  <si>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</si>
  <si>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</si>
  <si>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</si>
  <si>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</si>
  <si>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</si>
  <si>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</si>
  <si>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</si>
  <si>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</si>
  <si>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</si>
  <si>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</si>
  <si>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</si>
  <si>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</si>
  <si>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</si>
  <si>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</si>
  <si>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</si>
  <si>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</si>
  <si>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</si>
  <si>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</si>
  <si>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</si>
  <si>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</si>
  <si>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</si>
  <si>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</si>
  <si>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</si>
  <si>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</si>
  <si>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</si>
  <si>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</si>
  <si>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</si>
  <si>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</si>
  <si>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</si>
  <si>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</si>
  <si>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</si>
  <si>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</si>
  <si>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</si>
  <si>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</si>
  <si>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</si>
  <si>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</si>
  <si>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</si>
  <si>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</si>
  <si>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</si>
  <si>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</si>
  <si>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</si>
  <si>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</si>
  <si>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</si>
  <si>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</si>
  <si>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</si>
  <si>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</si>
  <si>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</si>
  <si>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</si>
  <si>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</si>
  <si>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</si>
  <si>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</si>
  <si>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</si>
  <si>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</si>
  <si>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</si>
  <si>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</si>
  <si>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</si>
  <si>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</si>
  <si>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</si>
  <si>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</si>
  <si>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</si>
  <si>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</si>
  <si>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</si>
  <si>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</si>
  <si>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</si>
  <si>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</si>
  <si>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</si>
  <si>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GIRONA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</si>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</sst>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mj4XYhBbicwecxGyfpK3kZ8MADx7NAI3OMVFeM7Wb1x2y83/N4TXQCiQQKcNn5rWD9fxJTel6qr3CCB96kkow==" saltValue="bh4dyNq45nLExk/lA2Qu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GIRONA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7047</v>
      </c>
      <c r="D9" s="404">
        <f>IF(ISNUMBER(C9/Datos!BH9),C9/Datos!BH9," - ")</f>
        <v>1409.4</v>
      </c>
      <c r="E9" s="403">
        <f>IF(ISNUMBER(IF(J_V="SI",Datos!J9,Datos!J9+Datos!Z9)),IF(J_V="SI",Datos!J9,Datos!J9+Datos!Z9)," - ")</f>
        <v>2888</v>
      </c>
      <c r="F9" s="404">
        <f>IF(ISNUMBER(E9/B9),E9/B9," - ")</f>
        <v>481.33333333333331</v>
      </c>
      <c r="G9" s="403">
        <f>IF(ISNUMBER(IF(J_V="SI",Datos!K9,Datos!K9+Datos!AA9)),IF(J_V="SI",Datos!K9,Datos!K9+Datos!AA9)," - ")</f>
        <v>3573</v>
      </c>
      <c r="H9" s="404">
        <f>IF(ISNUMBER(G9/B9),G9/B9," - ")</f>
        <v>595.5</v>
      </c>
      <c r="I9" s="403">
        <f>IF(ISNUMBER(IF(J_V="SI",Datos!L9,Datos!L9+Datos!AB9)),IF(J_V="SI",Datos!L9,Datos!L9+Datos!AB9)," - ")</f>
        <v>7554</v>
      </c>
      <c r="J9" s="404">
        <f>IF(ISNUMBER(I9/B9),I9/B9," - ")</f>
        <v>1259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36</v>
      </c>
      <c r="F10" s="404">
        <f>IF(ISNUMBER(E10/B10),E10/B10," - ")</f>
        <v>36</v>
      </c>
      <c r="G10" s="403">
        <f>IF(ISNUMBER(Datos!K10),Datos!K10," - ")</f>
        <v>17</v>
      </c>
      <c r="H10" s="404">
        <f>IF(ISNUMBER(G10/B10),G10/B10," - ")</f>
        <v>17</v>
      </c>
      <c r="I10" s="403">
        <f>IF(ISNUMBER(Datos!L10),Datos!L10," - ")</f>
        <v>66</v>
      </c>
      <c r="J10" s="404">
        <f>IF(ISNUMBER(I10/B10),I10/B10," - ")</f>
        <v>66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880</v>
      </c>
      <c r="D11" s="404">
        <f>IF(ISNUMBER(C11/Datos!BH11),C11/Datos!BH11," - ")</f>
        <v>440</v>
      </c>
      <c r="E11" s="403">
        <f>IF(ISNUMBER(IF(J_V="SI",Datos!J11,Datos!J11+Datos!Z11)),IF(J_V="SI",Datos!J11,Datos!J11+Datos!Z11)," - ")</f>
        <v>551</v>
      </c>
      <c r="F11" s="404">
        <f>IF(ISNUMBER(E11/B11),E11/B11," - ")</f>
        <v>275.5</v>
      </c>
      <c r="G11" s="403">
        <f>IF(ISNUMBER(IF(J_V="SI",Datos!K11,Datos!K11+Datos!AA11)),IF(J_V="SI",Datos!K11,Datos!K11+Datos!AA11)," - ")</f>
        <v>518</v>
      </c>
      <c r="H11" s="404">
        <f>IF(ISNUMBER(G11/B11),G11/B11," - ")</f>
        <v>259</v>
      </c>
      <c r="I11" s="403">
        <f>IF(ISNUMBER(IF(J_V="SI",Datos!L11,Datos!L11+Datos!AB11)),IF(J_V="SI",Datos!L11,Datos!L11+Datos!AB11)," - ")</f>
        <v>913</v>
      </c>
      <c r="J11" s="404">
        <f>IF(ISNUMBER(I11/B11),I11/B11," - ")</f>
        <v>456.5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7974</v>
      </c>
      <c r="D13" s="850" t="str">
        <f>IF(ISNUMBER(C13/Datos!BI13),C13/Datos!BI13," - ")</f>
        <v xml:space="preserve"> - </v>
      </c>
      <c r="E13" s="849">
        <f>SUBTOTAL(9,E8:E12)</f>
        <v>3475</v>
      </c>
      <c r="F13" s="850">
        <f>IF(ISNUMBER(E13/B13),E13/B13," - ")</f>
        <v>386.11111111111109</v>
      </c>
      <c r="G13" s="849">
        <f>SUBTOTAL(9,G8:G12)</f>
        <v>4108</v>
      </c>
      <c r="H13" s="850">
        <f>IF(ISNUMBER(G13/B13),G13/B13," - ")</f>
        <v>456.44444444444446</v>
      </c>
      <c r="I13" s="849">
        <f>SUBTOTAL(9,I8:I12)</f>
        <v>8533</v>
      </c>
      <c r="J13" s="850">
        <f>IF(ISNUMBER(I13/B13),I13/B13," - ")</f>
        <v>948.11111111111109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3220</v>
      </c>
      <c r="D15" s="404">
        <f>IF(ISNUMBER(C15/Datos!BH15),C15/Datos!BH15," - ")</f>
        <v>805</v>
      </c>
      <c r="E15" s="403">
        <f>IF(ISNUMBER(IF(D_I="SI",Datos!J15,Datos!J15+Datos!AD15)),IF(D_I="SI",Datos!J15,Datos!J15+Datos!AD15)," - ")</f>
        <v>3384</v>
      </c>
      <c r="F15" s="404">
        <f>IF(ISNUMBER(E15/B15),E15/B15," - ")</f>
        <v>846</v>
      </c>
      <c r="G15" s="403">
        <f>IF(ISNUMBER(IF(D_I="SI",Datos!K15,Datos!K15+Datos!AE15)),IF(D_I="SI",Datos!K15,Datos!K15+Datos!AE15)," - ")</f>
        <v>3192</v>
      </c>
      <c r="H15" s="404">
        <f>IF(ISNUMBER(G15/B15),G15/B15," - ")</f>
        <v>798</v>
      </c>
      <c r="I15" s="403">
        <f>IF(ISNUMBER(IF(D_I="SI",Datos!L15,Datos!L15+Datos!AF15)),IF(D_I="SI",Datos!L15,Datos!L15+Datos!AF15)," - ")</f>
        <v>3431</v>
      </c>
      <c r="J15" s="404">
        <f>IF(ISNUMBER(I15/B15),I15/B15," - ")</f>
        <v>857.75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143</v>
      </c>
      <c r="D17" s="404">
        <f>IF(ISNUMBER(C17/Datos!BH17),C17/Datos!BH17," - ")</f>
        <v>143</v>
      </c>
      <c r="E17" s="403">
        <f>IF(ISNUMBER(IF(D_I="SI",Datos!J17,Datos!J17+Datos!AD17)),IF(D_I="SI",Datos!J17,Datos!J17+Datos!AD17)," - ")</f>
        <v>330</v>
      </c>
      <c r="F17" s="404">
        <f>IF(ISNUMBER(E17/B17),E17/B17," - ")</f>
        <v>330</v>
      </c>
      <c r="G17" s="403">
        <f>IF(ISNUMBER(IF(D_I="SI",Datos!K17,Datos!K17+Datos!AE17)),IF(D_I="SI",Datos!K17,Datos!K17+Datos!AE17)," - ")</f>
        <v>312</v>
      </c>
      <c r="H17" s="404">
        <f>IF(ISNUMBER(G17/B17),G17/B17," - ")</f>
        <v>312</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3365</v>
      </c>
      <c r="D18" s="850" t="str">
        <f>IF(ISNUMBER(C18/Datos!BI18),C18/Datos!BI18," - ")</f>
        <v xml:space="preserve"> - </v>
      </c>
      <c r="E18" s="849">
        <f>SUBTOTAL(9,E14:E17)</f>
        <v>3714</v>
      </c>
      <c r="F18" s="850">
        <f>IF(ISNUMBER(E18/B18),E18/B18," - ")</f>
        <v>742.8</v>
      </c>
      <c r="G18" s="849">
        <f>SUBTOTAL(9,G14:G17)</f>
        <v>3504</v>
      </c>
      <c r="H18" s="850">
        <f>IF(ISNUMBER(G18/B18),G18/B18," - ")</f>
        <v>700.8</v>
      </c>
      <c r="I18" s="849">
        <f>SUBTOTAL(9,I14:I17)</f>
        <v>3594</v>
      </c>
      <c r="J18" s="850">
        <f>IF(ISNUMBER(I18/B18),I18/B18," - ")</f>
        <v>718.8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11339</v>
      </c>
      <c r="D19" s="795" t="str">
        <f>IF(ISNUMBER(C19/Datos!BI19),C19/Datos!BI19," - ")</f>
        <v xml:space="preserve"> - </v>
      </c>
      <c r="E19" s="794">
        <f>SUBTOTAL(9,E9:E18)</f>
        <v>7189</v>
      </c>
      <c r="F19" s="795">
        <f>IF(ISNUMBER(E19/B19),E19/B19," - ")</f>
        <v>553</v>
      </c>
      <c r="G19" s="794">
        <f>SUBTOTAL(9,G9:G18)</f>
        <v>7612</v>
      </c>
      <c r="H19" s="795">
        <f>IF(ISNUMBER(G19/B19),G19/B19," - ")</f>
        <v>585.53846153846155</v>
      </c>
      <c r="I19" s="794">
        <f>SUBTOTAL(9,I9:I18)</f>
        <v>12127</v>
      </c>
      <c r="J19" s="795">
        <f>IF(ISNUMBER(I19/B19),I19/B19," - ")</f>
        <v>932.84615384615381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51zXrcTV8d9+e3c+Kyd9vJfQv9btKJ5bjAWB8oHTPOiDuPEebNJHX0qddMRYLmzlj/KLULGZYxU+egCUWcs/g==" saltValue="IjFR0yjbnp6AnOVQDOk38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GIRONA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PRdW/sBttsE7bl9LF4eaSoqXdLKSTleuk5I3EJU2VVMgIbAMdW46WSdFsgHkEXlOpehSvzgSBie9tI7r3Nm5g==" saltValue="7hZbyFS9LyStBoan0EQW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GIRONA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853</v>
      </c>
      <c r="E9" s="404">
        <f t="shared" ref="E9:E13" si="0">IF(ISNUMBER(D9/B9),D9/B9," - ")</f>
        <v>142.16666666666666</v>
      </c>
      <c r="F9" s="403">
        <f>IF(ISNUMBER(Datos!N9),Datos!N9," - ")</f>
        <v>1273</v>
      </c>
      <c r="G9" s="404">
        <f t="shared" ref="G9:G13" si="1">IF(ISNUMBER(F9/B9),F9/B9," - ")</f>
        <v>212.16666666666666</v>
      </c>
      <c r="H9" s="403">
        <f>IF(ISNUMBER(Datos!O9),Datos!O9," - ")</f>
        <v>1324</v>
      </c>
      <c r="I9" s="404">
        <f>IF(ISNUMBER(H9/B9),H9/B9," - ")</f>
        <v>220.66666666666666</v>
      </c>
      <c r="BZ9" s="1186">
        <f>Datos!EZ9</f>
        <v>0</v>
      </c>
    </row>
    <row r="10" spans="1:78">
      <c r="A10" s="402" t="str">
        <f>Datos!A10</f>
        <v>Jdos. Violencia contra la mujer</v>
      </c>
      <c r="B10" s="427">
        <f>Datos!AO10</f>
        <v>1</v>
      </c>
      <c r="C10" s="410">
        <f>Datos!AQ10</f>
        <v>1</v>
      </c>
      <c r="D10" s="403">
        <f>IF(ISNUMBER(Datos!M10),Datos!M10," - ")</f>
        <v>3</v>
      </c>
      <c r="E10" s="404">
        <f>IF(ISNUMBER(D10/B10),D10/B10," - ")</f>
        <v>3</v>
      </c>
      <c r="F10" s="403">
        <f>IF(ISNUMBER(Datos!N10),Datos!N10," - ")</f>
        <v>9</v>
      </c>
      <c r="G10" s="404">
        <f>IF(ISNUMBER(F10/B10),F10/B10," - ")</f>
        <v>9</v>
      </c>
      <c r="H10" s="403">
        <f>IF(ISNUMBER(Datos!O10),Datos!O10," - ")</f>
        <v>2</v>
      </c>
      <c r="I10" s="404">
        <f t="shared" ref="I10:I12" si="2">IF(ISNUMBER(H10/B10),H10/B10," - ")</f>
        <v>2</v>
      </c>
      <c r="BZ10" s="1186">
        <f>Datos!EZ10</f>
        <v>0</v>
      </c>
    </row>
    <row r="11" spans="1:78">
      <c r="A11" s="402" t="str">
        <f>Datos!A11</f>
        <v xml:space="preserve">Jdos. Familia                                   </v>
      </c>
      <c r="B11" s="427">
        <f>Datos!AO11</f>
        <v>2</v>
      </c>
      <c r="C11" s="410">
        <f>Datos!AQ11</f>
        <v>2</v>
      </c>
      <c r="D11" s="403">
        <f>IF(ISNUMBER(Datos!M11),Datos!M11," - ")</f>
        <v>105</v>
      </c>
      <c r="E11" s="404">
        <f t="shared" si="0"/>
        <v>52.5</v>
      </c>
      <c r="F11" s="403">
        <f>IF(ISNUMBER(Datos!N11),Datos!N11," - ")</f>
        <v>376</v>
      </c>
      <c r="G11" s="404">
        <f t="shared" si="1"/>
        <v>188</v>
      </c>
      <c r="H11" s="403">
        <f>IF(ISNUMBER(Datos!O11),Datos!O11," - ")</f>
        <v>113</v>
      </c>
      <c r="I11" s="404">
        <f t="shared" si="2"/>
        <v>56.5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961</v>
      </c>
      <c r="E13" s="850">
        <f t="shared" si="0"/>
        <v>106.77777777777777</v>
      </c>
      <c r="F13" s="849">
        <f>SUBTOTAL(9,F9:F12)</f>
        <v>1658</v>
      </c>
      <c r="G13" s="850">
        <f t="shared" si="1"/>
        <v>184.22222222222223</v>
      </c>
      <c r="H13" s="849">
        <f>SUBTOTAL(9,H9:H12)</f>
        <v>1439</v>
      </c>
      <c r="I13" s="850">
        <f>IF(ISNUMBER(H13/B13),H13/B13," - ")</f>
        <v>159.88888888888889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565</v>
      </c>
      <c r="E15" s="404">
        <f t="shared" ref="E15:E18" si="3">IF(ISNUMBER(D15/B15),D15/B15," - ")</f>
        <v>141.25</v>
      </c>
      <c r="F15" s="403">
        <f>IF(ISNUMBER(Datos!N15),Datos!N15," - ")</f>
        <v>1846</v>
      </c>
      <c r="G15" s="404">
        <f t="shared" ref="G15:G18" si="4">IF(ISNUMBER(F15/B15),F15/B15," - ")</f>
        <v>461.5</v>
      </c>
      <c r="H15" s="403">
        <f>IF(ISNUMBER(Datos!O15),Datos!O15," - ")</f>
        <v>76</v>
      </c>
      <c r="I15" s="404">
        <f t="shared" ref="I15:I17" si="5">IF(ISNUMBER(H15/B15),H15/B15," - ")</f>
        <v>19</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8</v>
      </c>
      <c r="E17" s="404">
        <f>IF(ISNUMBER(D17/B17),D17/B17," - ")</f>
        <v>8</v>
      </c>
      <c r="F17" s="403">
        <f>IF(ISNUMBER(Datos!N17),Datos!N17," - ")</f>
        <v>198</v>
      </c>
      <c r="G17" s="404">
        <f>IF(ISNUMBER(F17/B17),F17/B17," - ")</f>
        <v>198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573</v>
      </c>
      <c r="E18" s="850">
        <f t="shared" si="3"/>
        <v>114.6</v>
      </c>
      <c r="F18" s="849">
        <f>SUBTOTAL(9,F15:F17)</f>
        <v>2044</v>
      </c>
      <c r="G18" s="850">
        <f t="shared" si="4"/>
        <v>408.8</v>
      </c>
      <c r="H18" s="849">
        <f>SUBTOTAL(9,H15:H17)</f>
        <v>76</v>
      </c>
      <c r="I18" s="850">
        <f>IF(ISNUMBER(H18/B18),H18/B18," - ")</f>
        <v>15.2</v>
      </c>
      <c r="BZ18" s="1186"/>
    </row>
    <row r="19" spans="1:78" ht="14.25" thickTop="1" thickBot="1">
      <c r="A19" s="793" t="str">
        <f>Datos!A19</f>
        <v>TOTAL JURISDICCIONES</v>
      </c>
      <c r="B19" s="794">
        <f>Datos!AP19</f>
        <v>13</v>
      </c>
      <c r="C19" s="794">
        <f>Datos!AR19</f>
        <v>13</v>
      </c>
      <c r="D19" s="794">
        <f>SUBTOTAL(9,D8:D18)</f>
        <v>1534</v>
      </c>
      <c r="E19" s="795">
        <f>IF(ISNUMBER(D19/B19),D19/B19," - ")</f>
        <v>118</v>
      </c>
      <c r="F19" s="794">
        <f>SUBTOTAL(9,F8:F18)</f>
        <v>3702</v>
      </c>
      <c r="G19" s="795">
        <f>IF(ISNUMBER(F19/B19),F19/B19," - ")</f>
        <v>284.76923076923077</v>
      </c>
      <c r="H19" s="794">
        <f>SUBTOTAL(9,H8:H18)</f>
        <v>1515</v>
      </c>
      <c r="I19" s="795">
        <f>IF(ISNUMBER(H19/B19),H19/B19," - ")</f>
        <v>116.53846153846153</v>
      </c>
    </row>
    <row r="22" spans="1:78">
      <c r="A22" s="391" t="str">
        <f>Criterios!A4</f>
        <v>Fecha Informe: 29 nov. 2024</v>
      </c>
    </row>
    <row r="27" spans="1:78">
      <c r="A27" s="414"/>
    </row>
  </sheetData>
  <sheetProtection algorithmName="SHA-512" hashValue="z4VO9KG7YYr/2X0YiJiV36Zoc3pfDGg/UQ7D79epF2AbHF07Y5DyVeuFc78Ccup6wAZog1p47nk9QyYv/ZQY+A==" saltValue="YnuuRUjEiNrA6cPO+2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GIRONA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528</v>
      </c>
      <c r="C9" s="434">
        <f>IF(ISNUMBER(Datos!Q9),Datos!Q9," - ")</f>
        <v>1494</v>
      </c>
      <c r="D9" s="408">
        <f>IF(ISNUMBER(Datos!R9),Datos!R9," - ")</f>
        <v>8239</v>
      </c>
    </row>
    <row r="10" spans="1:4">
      <c r="A10" s="402" t="str">
        <f>Datos!A10</f>
        <v>Jdos. Violencia contra la mujer</v>
      </c>
      <c r="B10" s="433">
        <f>IF(ISNUMBER(Datos!P10),Datos!P10," - ")</f>
        <v>5</v>
      </c>
      <c r="C10" s="434">
        <f>IF(ISNUMBER(Datos!Q10),Datos!Q10," - ")</f>
        <v>0</v>
      </c>
      <c r="D10" s="408">
        <f>IF(ISNUMBER(Datos!R10),Datos!R10," - ")</f>
        <v>113</v>
      </c>
    </row>
    <row r="11" spans="1:4">
      <c r="A11" s="402" t="str">
        <f>Datos!A11</f>
        <v xml:space="preserve">Jdos. Familia                                   </v>
      </c>
      <c r="B11" s="433">
        <f>IF(ISNUMBER(Datos!P11),Datos!P11," - ")</f>
        <v>40</v>
      </c>
      <c r="C11" s="434">
        <f>IF(ISNUMBER(Datos!Q11),Datos!Q11," - ")</f>
        <v>62</v>
      </c>
      <c r="D11" s="408">
        <f>IF(ISNUMBER(Datos!R11),Datos!R11," - ")</f>
        <v>540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573</v>
      </c>
      <c r="C13" s="853">
        <f>SUBTOTAL(9,C9:C12)</f>
        <v>1556</v>
      </c>
      <c r="D13" s="851">
        <f>SUBTOTAL(9,D9:D12)</f>
        <v>8892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122</v>
      </c>
      <c r="C15" s="434">
        <f>IF(ISNUMBER(Datos!Q15),Datos!Q15," - ")</f>
        <v>107</v>
      </c>
      <c r="D15" s="408">
        <f>IF(ISNUMBER(Datos!R15),Datos!R15," - ")</f>
        <v>346</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122</v>
      </c>
      <c r="C18" s="853">
        <f>SUBTOTAL(9,C15:C17)</f>
        <v>107</v>
      </c>
      <c r="D18" s="851">
        <f>SUBTOTAL(9,D15:D17)</f>
        <v>353</v>
      </c>
    </row>
    <row r="19" spans="1:4" ht="16.5" customHeight="1" thickTop="1" thickBot="1">
      <c r="A19" s="793" t="str">
        <f>Datos!A19</f>
        <v>TOTAL JURISDICCIONES</v>
      </c>
      <c r="B19" s="798">
        <f>SUBTOTAL(9,B8:B18)</f>
        <v>695</v>
      </c>
      <c r="C19" s="799">
        <f>SUBTOTAL(9,C8:C18)</f>
        <v>1663</v>
      </c>
      <c r="D19" s="800">
        <f>SUBTOTAL(9,D8:D18)</f>
        <v>9245</v>
      </c>
    </row>
    <row r="20" spans="1:4" ht="7.5" customHeight="1"/>
    <row r="21" spans="1:4" ht="6" customHeight="1"/>
    <row r="22" spans="1:4">
      <c r="A22" s="391" t="str">
        <f>Criterios!A4</f>
        <v>Fecha Informe: 29 nov. 2024</v>
      </c>
    </row>
    <row r="27" spans="1:4">
      <c r="A27" s="414"/>
    </row>
  </sheetData>
  <sheetProtection algorithmName="SHA-512" hashValue="sTsXmWphiP8qqZy3zFgfY9pmM5CkBeals3q6jnR0fZ01N7k6eMUHuCRyWRGJ/WyRcGwBPnTV7M+ewM607Uz8/g==" saltValue="uYQiHXuwQoQVs3/jXwkc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GIRONA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0.35233160621761656</v>
      </c>
      <c r="C9" s="456">
        <f>IF(ISNUMBER(
   IF(J_V="SI",(Datos!J9-Datos!T9)/Datos!T9,(Datos!J9+Datos!Z9-(Datos!T9+Datos!AH9))/(Datos!T9+Datos!AH9))
     ),IF(J_V="SI",(Datos!J9-Datos!T9)/Datos!T9,(Datos!J9+Datos!Z9-(Datos!T9+Datos!AH9))/(Datos!T9+Datos!AH9))," - ")</f>
        <v>-0.13996426444312091</v>
      </c>
      <c r="D9" s="456">
        <f>IF(ISNUMBER(
   IF(J_V="SI",(Datos!K9-Datos!U9)/Datos!U9,(Datos!K9+Datos!AA9-(Datos!U9+Datos!AI9))/(Datos!U9+Datos!AI9))
     ),IF(J_V="SI",(Datos!K9-Datos!U9)/Datos!U9,(Datos!K9+Datos!AA9-(Datos!U9+Datos!AI9))/(Datos!U9+Datos!AI9))," - ")</f>
        <v>0.24581589958158995</v>
      </c>
      <c r="E9" s="456">
        <f>IF(ISNUMBER(
   IF(J_V="SI",(Datos!L9-Datos!V9)/Datos!V9,(Datos!L9+Datos!AB9-(Datos!V9+Datos!AJ9))/(Datos!V9+Datos!AJ9))
     ),IF(J_V="SI",(Datos!L9-Datos!V9)/Datos!V9,(Datos!L9+Datos!AB9-(Datos!V9+Datos!AJ9))/(Datos!V9+Datos!AJ9))," - ")</f>
        <v>0.32503069636905807</v>
      </c>
      <c r="F9" s="456">
        <f>IF(ISNUMBER((Datos!M9-Datos!W9)/Datos!W9),(Datos!M9-Datos!W9)/Datos!W9," - ")</f>
        <v>0.4457627118644068</v>
      </c>
      <c r="G9" s="457">
        <f>IF(ISNUMBER((Datos!N9-Datos!X9)/Datos!X9),(Datos!N9-Datos!X9)/Datos!X9," - ")</f>
        <v>-0.21613300492610837</v>
      </c>
      <c r="H9" s="455">
        <f>IF(ISNUMBER(((NºAsuntos!G9/NºAsuntos!E9)-Datos!BD9)/Datos!BD9),((NºAsuntos!G9/NºAsuntos!E9)-Datos!BD9)/Datos!BD9," - ")</f>
        <v>0.44856294695116994</v>
      </c>
      <c r="I9" s="456">
        <f>IF(ISNUMBER(((NºAsuntos!I9/NºAsuntos!G9)-Datos!BE9)/Datos!BE9),((NºAsuntos!I9/NºAsuntos!G9)-Datos!BE9)/Datos!BE9," - ")</f>
        <v>6.358467315601983E-2</v>
      </c>
      <c r="J9" s="461">
        <f>IF(ISNUMBER((('Resol  Asuntos'!D9/NºAsuntos!G9)-Datos!BF9)/Datos!BF9),(('Resol  Asuntos'!D9/NºAsuntos!G9)-Datos!BF9)/Datos!BF9," - ")</f>
        <v>-0.57839171454215321</v>
      </c>
      <c r="K9" s="462">
        <f>IF(ISNUMBER((((NºAsuntos!C9+NºAsuntos!E9)/NºAsuntos!G9)-Datos!BG9)/Datos!BG9),(((NºAsuntos!C9+NºAsuntos!E9)/NºAsuntos!G9)-Datos!BG9)/Datos!BG9," - ")</f>
        <v>-6.9355404966195813E-2</v>
      </c>
    </row>
    <row r="10" spans="1:11">
      <c r="A10" s="402" t="str">
        <f>Datos!A10</f>
        <v>Jdos. Violencia contra la mujer</v>
      </c>
      <c r="B10" s="455">
        <f>IF(ISNUMBER((Datos!I10-Datos!S10)/Datos!S10),(Datos!I10-Datos!S10)/Datos!S10," - ")</f>
        <v>0.30555555555555558</v>
      </c>
      <c r="C10" s="456">
        <f>IF(ISNUMBER((Datos!J10-Datos!T10)/Datos!T10),(Datos!J10-Datos!T10)/Datos!T10," - ")</f>
        <v>-5.2631578947368418E-2</v>
      </c>
      <c r="D10" s="456">
        <f>IF(ISNUMBER((Datos!K10-Datos!U10)/Datos!U10),(Datos!K10-Datos!U10)/Datos!U10," - ")</f>
        <v>6.25E-2</v>
      </c>
      <c r="E10" s="456">
        <f>IF(ISNUMBER((Datos!L10-Datos!V10)/Datos!V10),(Datos!L10-Datos!V10)/Datos!V10," - ")</f>
        <v>0.13793103448275862</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0.1215277777777778</v>
      </c>
      <c r="I10" s="456">
        <f>IF(ISNUMBER(((NºAsuntos!I10/NºAsuntos!G10)-Datos!BE10)/Datos!BE10),((NºAsuntos!I10/NºAsuntos!G10)-Datos!BE10)/Datos!BE10," - ")</f>
        <v>7.099391480730223E-2</v>
      </c>
      <c r="J10" s="461">
        <f>IF(ISNUMBER((('Resol  Asuntos'!D10/NºAsuntos!G10)-Datos!BF10)/Datos!BF10),(('Resol  Asuntos'!D10/NºAsuntos!G10)-Datos!BF10)/Datos!BF10," - ")</f>
        <v>-5.8823529411764643E-2</v>
      </c>
      <c r="K10" s="462">
        <f>IF(ISNUMBER((((NºAsuntos!C10+NºAsuntos!E10)/NºAsuntos!G10)-Datos!BG10)/Datos!BG10),(((NºAsuntos!C10+NºAsuntos!E10)/NºAsuntos!G10)-Datos!BG10)/Datos!BG10," - ")</f>
        <v>5.5643879173291028E-2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4.2654028436018961E-2</v>
      </c>
      <c r="C11" s="456">
        <f>IF(ISNUMBER(
   IF(J_V="SI",(Datos!J11-Datos!T11)/Datos!T11,(Datos!J11+Datos!Z11-(Datos!T11+Datos!AH11))/(Datos!T11+Datos!AH11))
     ),IF(J_V="SI",(Datos!J11-Datos!T11)/Datos!T11,(Datos!J11+Datos!Z11-(Datos!T11+Datos!AH11))/(Datos!T11+Datos!AH11))," - ")</f>
        <v>3.962264150943396E-2</v>
      </c>
      <c r="D11" s="456">
        <f>IF(ISNUMBER(
   IF(J_V="SI",(Datos!K11-Datos!U11)/Datos!U11,(Datos!K11+Datos!AA11-(Datos!U11+Datos!AI11))/(Datos!U11+Datos!AI11))
     ),IF(J_V="SI",(Datos!K11-Datos!U11)/Datos!U11,(Datos!K11+Datos!AA11-(Datos!U11+Datos!AI11))/(Datos!U11+Datos!AI11))," - ")</f>
        <v>-9.1228070175438603E-2</v>
      </c>
      <c r="E11" s="456">
        <f>IF(ISNUMBER(
   IF(J_V="SI",(Datos!L11-Datos!V11)/Datos!V11,(Datos!L11+Datos!AB11-(Datos!V11+Datos!AJ11))/(Datos!V11+Datos!AJ11))
     ),IF(J_V="SI",(Datos!L11-Datos!V11)/Datos!V11,(Datos!L11+Datos!AB11-(Datos!V11+Datos!AJ11))/(Datos!V11+Datos!AJ11))," - ")</f>
        <v>0.14554579673776663</v>
      </c>
      <c r="F11" s="456">
        <f>IF(ISNUMBER((Datos!M11-Datos!W11)/Datos!W11),(Datos!M11-Datos!W11)/Datos!W11," - ")</f>
        <v>-0.13934426229508196</v>
      </c>
      <c r="G11" s="457">
        <f>IF(ISNUMBER((Datos!N11-Datos!X11)/Datos!X11),(Datos!N11-Datos!X11)/Datos!X11," - ")</f>
        <v>9.6209912536443148E-2</v>
      </c>
      <c r="H11" s="455">
        <f>IF(ISNUMBER(((NºAsuntos!G11/NºAsuntos!E11)-Datos!BD11)/Datos!BD11),((NºAsuntos!G11/NºAsuntos!E11)-Datos!BD11)/Datos!BD11," - ")</f>
        <v>-0.12586366096730026</v>
      </c>
      <c r="I11" s="456">
        <f>IF(ISNUMBER(((NºAsuntos!I11/NºAsuntos!G11)-Datos!BE11)/Datos!BE11),((NºAsuntos!I11/NºAsuntos!G11)-Datos!BE11)/Datos!BE11," - ")</f>
        <v>0.26054267208595944</v>
      </c>
      <c r="J11" s="461">
        <f>IF(ISNUMBER((('Resol  Asuntos'!D11/NºAsuntos!G11)-Datos!BF11)/Datos!BF11),(('Resol  Asuntos'!D11/NºAsuntos!G11)-Datos!BF11)/Datos!BF11," - ")</f>
        <v>-0.66314711212670385</v>
      </c>
      <c r="K11" s="462">
        <f>IF(ISNUMBER((((NºAsuntos!C11+NºAsuntos!E11)/NºAsuntos!G11)-Datos!BG11)/Datos!BG11),(((NºAsuntos!C11+NºAsuntos!E11)/NºAsuntos!G11)-Datos!BG11)/Datos!BG11," - ")</f>
        <v>0.14603530542395171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0.30914463963224431</v>
      </c>
      <c r="C13" s="855">
        <f>IF(ISNUMBER(
   IF(J_V="SI",(Datos!J13-Datos!T13)/Datos!T13,(Datos!J13+Datos!Z13-(Datos!T13+Datos!AH13))/(Datos!T13+Datos!AH13))
     ),IF(J_V="SI",(Datos!J13-Datos!T13)/Datos!T13,(Datos!J13+Datos!Z13-(Datos!T13+Datos!AH13))/(Datos!T13+Datos!AH13))," - ")</f>
        <v>-0.11487519103413144</v>
      </c>
      <c r="D13" s="855">
        <f>IF(ISNUMBER(
   IF(J_V="SI",(Datos!K13-Datos!U13)/Datos!U13,(Datos!K13+Datos!AA13-(Datos!U13+Datos!AI13))/(Datos!U13+Datos!AI13))
     ),IF(J_V="SI",(Datos!K13-Datos!U13)/Datos!U13,(Datos!K13+Datos!AA13-(Datos!U13+Datos!AI13))/(Datos!U13+Datos!AI13))," - ")</f>
        <v>0.18934568616097278</v>
      </c>
      <c r="E13" s="855">
        <f>IF(ISNUMBER(
   IF(J_V="SI",(Datos!L13-Datos!V13)/Datos!V13,(Datos!L13+Datos!AB13-(Datos!V13+Datos!AJ13))/(Datos!V13+Datos!AJ13))
     ),IF(J_V="SI",(Datos!L13-Datos!V13)/Datos!V13,(Datos!L13+Datos!AB13-(Datos!V13+Datos!AJ13))/(Datos!V13+Datos!AJ13))," - ")</f>
        <v>0.30155582672361197</v>
      </c>
      <c r="F13" s="856">
        <f>IF(ISNUMBER((Datos!M13-Datos!W13)/Datos!W13),(Datos!M13-Datos!W13)/Datos!W13," - ")</f>
        <v>0.34405594405594403</v>
      </c>
      <c r="G13" s="857">
        <f>IF(ISNUMBER((Datos!N13-Datos!X13)/Datos!X13),(Datos!N13-Datos!X13)/Datos!X13," - ")</f>
        <v>-0.15965534718702484</v>
      </c>
      <c r="H13" s="857">
        <f>IF(ISNUMBER(((NºAsuntos!G13/NºAsuntos!E13)-Datos!BD13)/Datos!BD13),((NºAsuntos!G13/NºAsuntos!E13)-Datos!BD13)/Datos!BD13," - ")</f>
        <v>0.34370393204833927</v>
      </c>
      <c r="I13" s="857">
        <f>IF(ISNUMBER(((NºAsuntos!I13/NºAsuntos!G13)-Datos!BE13)/Datos!BE13),((NºAsuntos!I13/NºAsuntos!G13)-Datos!BE13)/Datos!BE13," - ")</f>
        <v>9.4346111368879174E-2</v>
      </c>
      <c r="J13" s="857">
        <f>IF(ISNUMBER((('Resol  Asuntos'!D13/NºAsuntos!G13)-Datos!BF13)/Datos!BF13),(('Resol  Asuntos'!D13/NºAsuntos!G13)-Datos!BF13)/Datos!BF13," - ")</f>
        <v>-0.5898440087189043</v>
      </c>
      <c r="K13" s="857">
        <f>IF(ISNUMBER((((NºAsuntos!C13+NºAsuntos!E13)/NºAsuntos!G13)-Datos!BG13)/Datos!BG13),(((NºAsuntos!C13+NºAsuntos!E13)/NºAsuntos!G13)-Datos!BG13)/Datos!BG13," - ")</f>
        <v>-3.9003557632647734E-2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0.21007140172867342</v>
      </c>
      <c r="C15" s="456">
        <f>IF(ISNUMBER(
   IF(D_I="SI",(Datos!J15-Datos!T15)/Datos!T15,(Datos!J15+Datos!AD15-(Datos!T15+Datos!AL15))/(Datos!T15+Datos!AL15))
     ),IF(D_I="SI",(Datos!J15-Datos!T15)/Datos!T15,(Datos!J15+Datos!AD15-(Datos!T15+Datos!AL15))/(Datos!T15+Datos!AL15))," - ")</f>
        <v>0.10878112712975098</v>
      </c>
      <c r="D15" s="456">
        <f>IF(ISNUMBER(
   IF(D_I="SI",(Datos!K15-Datos!U15)/Datos!U15,(Datos!K15+Datos!AE15-(Datos!U15+Datos!AM15))/(Datos!U15+Datos!AM15))
     ),IF(D_I="SI",(Datos!K15-Datos!U15)/Datos!U15,(Datos!K15+Datos!AE15-(Datos!U15+Datos!AM15))/(Datos!U15+Datos!AM15))," - ")</f>
        <v>0.2391304347826087</v>
      </c>
      <c r="E15" s="456">
        <f>IF(ISNUMBER(
   IF(D_I="SI",(Datos!L15-Datos!V15)/Datos!V15,(Datos!L15+Datos!AF15-(Datos!V15+Datos!AN15))/(Datos!V15+Datos!AN15))
     ),IF(D_I="SI",(Datos!L15-Datos!V15)/Datos!V15,(Datos!L15+Datos!AF15-(Datos!V15+Datos!AN15))/(Datos!V15+Datos!AN15))," - ")</f>
        <v>8.6447118429385683E-2</v>
      </c>
      <c r="F15" s="456">
        <f>IF(ISNUMBER((Datos!M15-Datos!W15)/Datos!W15),(Datos!M15-Datos!W15)/Datos!W15," - ")</f>
        <v>0.56944444444444442</v>
      </c>
      <c r="G15" s="457">
        <f>IF(ISNUMBER((Datos!N15-Datos!X15)/Datos!X15),(Datos!N15-Datos!X15)/Datos!X15," - ")</f>
        <v>0.29090909090909089</v>
      </c>
      <c r="H15" s="455">
        <f>IF(ISNUMBER(((NºAsuntos!G15/NºAsuntos!E15)-Datos!BD15)/Datos!BD15),((NºAsuntos!G15/NºAsuntos!E15)-Datos!BD15)/Datos!BD15," - ")</f>
        <v>0.11756090040086337</v>
      </c>
      <c r="I15" s="456">
        <f>IF(ISNUMBER(((NºAsuntos!I15/NºAsuntos!G15)-Datos!BE15)/Datos!BE15),((NºAsuntos!I15/NºAsuntos!G15)-Datos!BE15)/Datos!BE15," - ")</f>
        <v>-0.12321811495172379</v>
      </c>
      <c r="J15" s="461">
        <f>IF(ISNUMBER((('Resol  Asuntos'!D15/NºAsuntos!G15)-Datos!BF15)/Datos!BF15),(('Resol  Asuntos'!D15/NºAsuntos!G15)-Datos!BF15)/Datos!BF15," - ")</f>
        <v>0.26656920077972729</v>
      </c>
      <c r="K15" s="462">
        <f>IF(ISNUMBER((((NºAsuntos!C15+NºAsuntos!E15)/NºAsuntos!G15)-Datos!BG15)/Datos!BG15),(((NºAsuntos!C15+NºAsuntos!E15)/NºAsuntos!G15)-Datos!BG15)/Datos!BG15," - ")</f>
        <v>-6.7119926544876266E-2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0.625</v>
      </c>
      <c r="C17" s="456">
        <f>IF(ISNUMBER(
   IF(D_I="SI",(Datos!J17-Datos!T17)/Datos!T17,(Datos!J17+Datos!AD17-(Datos!T17+Datos!AL17))/(Datos!T17+Datos!AL17))
     ),IF(D_I="SI",(Datos!J17-Datos!T17)/Datos!T17,(Datos!J17+Datos!AD17-(Datos!T17+Datos!AL17))/(Datos!T17+Datos!AL17))," - ")</f>
        <v>3.125E-2</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0.19259259259259259</v>
      </c>
      <c r="F17" s="456">
        <f>IF(ISNUMBER((Datos!M17-Datos!W17)/Datos!W17),(Datos!M17-Datos!W17)/Datos!W17," - ")</f>
        <v>0.33333333333333331</v>
      </c>
      <c r="G17" s="457">
        <f>IF(ISNUMBER((Datos!N17-Datos!X17)/Datos!X17),(Datos!N17-Datos!X17)/Datos!X17," - ")</f>
        <v>0.26114649681528662</v>
      </c>
      <c r="H17" s="455">
        <f>IF(ISNUMBER(((NºAsuntos!G17/NºAsuntos!E17)-Datos!BD17)/Datos!BD17),((NºAsuntos!G17/NºAsuntos!E17)-Datos!BD17)/Datos!BD17," - ")</f>
        <v>0.10822510822510817</v>
      </c>
      <c r="I17" s="456">
        <f>IF(ISNUMBER(((NºAsuntos!I17/NºAsuntos!G17)-Datos!BE17)/Datos!BE17),((NºAsuntos!I17/NºAsuntos!G17)-Datos!BE17)/Datos!BE17," - ")</f>
        <v>4.3518518518518588E-2</v>
      </c>
      <c r="J17" s="461">
        <f>IF(ISNUMBER((('Resol  Asuntos'!D17/NºAsuntos!G17)-Datos!BF17)/Datos!BF17),(('Resol  Asuntos'!D17/NºAsuntos!G17)-Datos!BF17)/Datos!BF17," - ")</f>
        <v>0.16666666666666655</v>
      </c>
      <c r="K17" s="462">
        <f>IF(ISNUMBER((((NºAsuntos!C17+NºAsuntos!E17)/NºAsuntos!G17)-Datos!BG17)/Datos!BG17),(((NºAsuntos!C17+NºAsuntos!E17)/NºAsuntos!G17)-Datos!BG17)/Datos!BG17," - ")</f>
        <v>1.4399509803921517E-2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0.2231915667030171</v>
      </c>
      <c r="C18" s="855">
        <f>IF(ISNUMBER(
   IF(Criterios!B14="SI",(Datos!J18-Datos!T18)/Datos!T18,(Datos!J18+Datos!AD18-(Datos!T18+Datos!AL18))/(Datos!T18+Datos!AL18))
     ),IF(Criterios!B14="SI",(Datos!J18-Datos!T18)/Datos!T18,(Datos!J18+Datos!AD18-(Datos!T18+Datos!AL18))/(Datos!T18+Datos!AL18))," - ")</f>
        <v>0.10142348754448399</v>
      </c>
      <c r="D18" s="855">
        <f>IF(ISNUMBER(
   IF(Criterios!B14="SI",(Datos!K18-Datos!U18)/Datos!U18,(Datos!K18+Datos!AE18-(Datos!U18+Datos!AM18))/(Datos!U18+Datos!AM18))
     ),IF(Criterios!B14="SI",(Datos!K18-Datos!U18)/Datos!U18,(Datos!K18+Datos!AE18-(Datos!U18+Datos!AM18))/(Datos!U18+Datos!AM18))," - ")</f>
        <v>0.22990522990522991</v>
      </c>
      <c r="E18" s="855">
        <f>IF(ISNUMBER(
   IF(Criterios!B14="SI",(Datos!L18-Datos!V18)/Datos!V18,(Datos!L18+Datos!AF18-(Datos!V18+Datos!AN18))/(Datos!V18+Datos!AN18))
     ),IF(Criterios!B14="SI",(Datos!L18-Datos!V18)/Datos!V18,(Datos!L18+Datos!AF18-(Datos!V18+Datos!AN18))/(Datos!V18+Datos!AN18))," - ")</f>
        <v>9.0743550834597869E-2</v>
      </c>
      <c r="F18" s="856">
        <f>IF(ISNUMBER((Datos!M18-Datos!W18)/Datos!W18),(Datos!M18-Datos!W18)/Datos!W18," - ")</f>
        <v>0.56557377049180324</v>
      </c>
      <c r="G18" s="857">
        <f>IF(ISNUMBER((Datos!N18-Datos!X18)/Datos!X18),(Datos!N18-Datos!X18)/Datos!X18," - ")</f>
        <v>0.28796471329552614</v>
      </c>
      <c r="H18" s="857">
        <f>IF(ISNUMBER(((NºAsuntos!G18/NºAsuntos!E18)-Datos!BD18)/Datos!BD18),((NºAsuntos!G18/NºAsuntos!E18)-Datos!BD18)/Datos!BD18," - ")</f>
        <v>0.11665062876694535</v>
      </c>
      <c r="I18" s="857">
        <f>IF(ISNUMBER(((NºAsuntos!I18/NºAsuntos!G18)-Datos!BE18)/Datos!BE18),((NºAsuntos!I18/NºAsuntos!G18)-Datos!BE18)/Datos!BE18," - ")</f>
        <v>-0.11314829442700652</v>
      </c>
      <c r="J18" s="857">
        <f>IF(ISNUMBER((('Resol  Asuntos'!D18/NºAsuntos!G18)-Datos!BF18)/Datos!BF18),(('Resol  Asuntos'!D18/NºAsuntos!G18)-Datos!BF18)/Datos!BF18," - ")</f>
        <v>0.27292228085934578</v>
      </c>
      <c r="K18" s="857">
        <f>IF(ISNUMBER((((NºAsuntos!C18+NºAsuntos!E18)/NºAsuntos!G18)-Datos!BG18)/Datos!BG18),(((NºAsuntos!C18+NºAsuntos!E18)/NºAsuntos!G18)-Datos!BG18)/Datos!BG18," - ")</f>
        <v>-5.9982357485847577E-2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0.28240217145442209</v>
      </c>
      <c r="C19" s="802">
        <f>IF(ISNUMBER(
   IF(J_V="SI",(Datos!J19-Datos!T19)/Datos!T19,(Datos!J19+Datos!Z19-(Datos!T19+Datos!AH19))/(Datos!T19+Datos!AH19))
     ),IF(J_V="SI",(Datos!J19-Datos!T19)/Datos!T19,(Datos!J19+Datos!Z19-(Datos!T19+Datos!AH19))/(Datos!T19+Datos!AH19))," - ")</f>
        <v>-1.4935598794190189E-2</v>
      </c>
      <c r="D19" s="802">
        <f>IF(ISNUMBER(
   IF(J_V="SI",(Datos!K19-Datos!U19)/Datos!U19,(Datos!K19+Datos!AA19-(Datos!U19+Datos!AI19))/(Datos!U19+Datos!AI19))
     ),IF(J_V="SI",(Datos!K19-Datos!U19)/Datos!U19,(Datos!K19+Datos!AA19-(Datos!U19+Datos!AI19))/(Datos!U19+Datos!AI19))," - ")</f>
        <v>0.20767888307155322</v>
      </c>
      <c r="E19" s="802">
        <f>IF(ISNUMBER(
   IF(J_V="SI",(Datos!L19-Datos!V19)/Datos!V19,(Datos!L19+Datos!AB19-(Datos!V19+Datos!AJ19))/(Datos!V19+Datos!AJ19))
     ),IF(J_V="SI",(Datos!L19-Datos!V19)/Datos!V19,(Datos!L19+Datos!AB19-(Datos!V19+Datos!AJ19))/(Datos!V19+Datos!AJ19))," - ")</f>
        <v>0.23104253375291847</v>
      </c>
      <c r="F19" s="803">
        <f>IF(ISNUMBER((Datos!M19-Datos!W19)/Datos!W19),(Datos!M19-Datos!W19)/Datos!W19," - ")</f>
        <v>0.41905642923219244</v>
      </c>
      <c r="G19" s="804">
        <f>IF(ISNUMBER((Datos!N19-Datos!X19)/Datos!X19),(Datos!N19-Datos!X19)/Datos!X19," - ")</f>
        <v>3.9887640449438204E-2</v>
      </c>
      <c r="H19" s="805">
        <f>IF(ISNUMBER((Tasas!B19-Datos!BD19)/Datos!BD19),(Tasas!B19-Datos!BD19)/Datos!BD19," - ")</f>
        <v>0.22598977446879887</v>
      </c>
      <c r="I19" s="806">
        <f>IF(ISNUMBER((Tasas!C19-Datos!BE19)/Datos!BE19),(Tasas!C19-Datos!BE19)/Datos!BE19," - ")</f>
        <v>1.9345913064193986E-2</v>
      </c>
      <c r="J19" s="807">
        <f>IF(ISNUMBER((Tasas!D19-Datos!BF19)/Datos!BF19),(Tasas!D19-Datos!BF19)/Datos!BF19," - ")</f>
        <v>-0.45624777298281732</v>
      </c>
      <c r="K19" s="807">
        <f>IF(ISNUMBER((Tasas!E19-Datos!BG19)/Datos!BG19),(Tasas!E19-Datos!BG19)/Datos!BG19," - ")</f>
        <v>-4.9453123321228219E-2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3FW03u52SLY48LDmkRKrSKaKGDprYgaywDpYpAzlHq4yTmcS51CNqkiimgSj2ZO/KEFlKEpPZUlwFxMtKg17Q==" saltValue="0jukQdMzsq25gc35/W2f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GIRONA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1.2371883656509695</v>
      </c>
      <c r="C9" s="443">
        <f>IF(ISNUMBER(NºAsuntos!I9/NºAsuntos!G9),NºAsuntos!I9/NºAsuntos!G9," - ")</f>
        <v>2.114189756507137</v>
      </c>
      <c r="D9" s="444">
        <f>IF(ISNUMBER('Resol  Asuntos'!D9/NºAsuntos!G9),'Resol  Asuntos'!D9/NºAsuntos!G9," - ")</f>
        <v>0.23873495661908761</v>
      </c>
      <c r="E9" s="445">
        <f>IF(ISNUMBER((NºAsuntos!C9+NºAsuntos!E9)/NºAsuntos!G9),(NºAsuntos!C9+NºAsuntos!E9)/NºAsuntos!G9," - ")</f>
        <v>2.7805765463196193</v>
      </c>
      <c r="G9" s="463"/>
    </row>
    <row r="10" spans="1:7">
      <c r="A10" s="402" t="str">
        <f>Datos!A10</f>
        <v>Jdos. Violencia contra la mujer</v>
      </c>
      <c r="B10" s="442">
        <f>IF(ISNUMBER(NºAsuntos!G10/NºAsuntos!E10),NºAsuntos!G10/NºAsuntos!E10," - ")</f>
        <v>0.47222222222222221</v>
      </c>
      <c r="C10" s="443">
        <f>IF(ISNUMBER(NºAsuntos!I10/NºAsuntos!G10),NºAsuntos!I10/NºAsuntos!G10," - ")</f>
        <v>3.8823529411764706</v>
      </c>
      <c r="D10" s="444">
        <f>IF(ISNUMBER('Resol  Asuntos'!D10/NºAsuntos!G10),'Resol  Asuntos'!D10/NºAsuntos!G10," - ")</f>
        <v>0.17647058823529413</v>
      </c>
      <c r="E10" s="445">
        <f>IF(ISNUMBER((NºAsuntos!C10+NºAsuntos!E10)/NºAsuntos!G10),(NºAsuntos!C10+NºAsuntos!E10)/NºAsuntos!G10," - ")</f>
        <v>4.882352941176471</v>
      </c>
      <c r="G10" s="463"/>
    </row>
    <row r="11" spans="1:7">
      <c r="A11" s="402" t="str">
        <f>Datos!A11</f>
        <v xml:space="preserve">Jdos. Familia                                   </v>
      </c>
      <c r="B11" s="442">
        <f>IF(ISNUMBER(NºAsuntos!G11/NºAsuntos!E11),NºAsuntos!G11/NºAsuntos!E11," - ")</f>
        <v>0.94010889292196009</v>
      </c>
      <c r="C11" s="443">
        <f>IF(ISNUMBER(NºAsuntos!I11/NºAsuntos!G11),NºAsuntos!I11/NºAsuntos!G11," - ")</f>
        <v>1.7625482625482625</v>
      </c>
      <c r="D11" s="444">
        <f>IF(ISNUMBER('Resol  Asuntos'!D11/NºAsuntos!G11),'Resol  Asuntos'!D11/NºAsuntos!G11," - ")</f>
        <v>0.20270270270270271</v>
      </c>
      <c r="E11" s="445">
        <f>IF(ISNUMBER((NºAsuntos!C11+NºAsuntos!E11)/NºAsuntos!G11),(NºAsuntos!C11+NºAsuntos!E11)/NºAsuntos!G11," - ")</f>
        <v>2.7625482625482625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1.182158273381295</v>
      </c>
      <c r="C13" s="859">
        <f>IF(ISNUMBER(NºAsuntos!I13/NºAsuntos!G13),NºAsuntos!I13/NºAsuntos!G13," - ")</f>
        <v>2.0771665043816943</v>
      </c>
      <c r="D13" s="860">
        <f>IF(ISNUMBER('Resol  Asuntos'!D13/NºAsuntos!G13),'Resol  Asuntos'!D13/NºAsuntos!G13," - ")</f>
        <v>0.23393378773125609</v>
      </c>
      <c r="E13" s="861">
        <f>IF(ISNUMBER((NºAsuntos!C13+NºAsuntos!E13)/NºAsuntos!G13),(NºAsuntos!C13+NºAsuntos!E13)/NºAsuntos!G13," - ")</f>
        <v>2.7870009737098345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0.94326241134751776</v>
      </c>
      <c r="C15" s="443">
        <f>IF(ISNUMBER(NºAsuntos!I15/NºAsuntos!G15),NºAsuntos!I15/NºAsuntos!G15," - ")</f>
        <v>1.074874686716792</v>
      </c>
      <c r="D15" s="444">
        <f>IF(ISNUMBER('Resol  Asuntos'!D15/NºAsuntos!G15),'Resol  Asuntos'!D15/NºAsuntos!G15," - ")</f>
        <v>0.17700501253132833</v>
      </c>
      <c r="E15" s="445">
        <f>IF(ISNUMBER((NºAsuntos!C15+NºAsuntos!E15)/NºAsuntos!G15),(NºAsuntos!C15+NºAsuntos!E15)/NºAsuntos!G15," - ")</f>
        <v>2.0689223057644108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0.94545454545454544</v>
      </c>
      <c r="C17" s="443">
        <f>IF(ISNUMBER(NºAsuntos!I17/NºAsuntos!G17),NºAsuntos!I17/NºAsuntos!G17," - ")</f>
        <v>0.51602564102564108</v>
      </c>
      <c r="D17" s="444">
        <f>IF(ISNUMBER('Resol  Asuntos'!D17/NºAsuntos!G17),'Resol  Asuntos'!D17/NºAsuntos!G17," - ")</f>
        <v>2.564102564102564E-2</v>
      </c>
      <c r="E17" s="445">
        <f>IF(ISNUMBER((NºAsuntos!C17+NºAsuntos!E17)/NºAsuntos!G17),(NºAsuntos!C17+NºAsuntos!E17)/NºAsuntos!G17," - ")</f>
        <v>1.516025641025641</v>
      </c>
      <c r="G17" s="463"/>
    </row>
    <row r="18" spans="1:7" ht="14.25" thickTop="1" thickBot="1">
      <c r="A18" s="848" t="str">
        <f>Datos!A18</f>
        <v>TOTAL</v>
      </c>
      <c r="B18" s="858">
        <f>IF(ISNUMBER(NºAsuntos!G18/NºAsuntos!E18),NºAsuntos!G18/NºAsuntos!E18," - ")</f>
        <v>0.94345718901453957</v>
      </c>
      <c r="C18" s="859">
        <f>IF(ISNUMBER(NºAsuntos!I18/NºAsuntos!G18),NºAsuntos!I18/NºAsuntos!G18," - ")</f>
        <v>1.0256849315068493</v>
      </c>
      <c r="D18" s="862">
        <f>IF(ISNUMBER('Resol  Asuntos'!D18/NºAsuntos!G18),'Resol  Asuntos'!D18/NºAsuntos!G18," - ")</f>
        <v>0.16352739726027396</v>
      </c>
      <c r="E18" s="861">
        <f>IF(ISNUMBER((NºAsuntos!C18+NºAsuntos!E18)/NºAsuntos!G18),(NºAsuntos!C18+NºAsuntos!E18)/NºAsuntos!G18," - ")</f>
        <v>2.0202625570776256</v>
      </c>
      <c r="G18" s="463"/>
    </row>
    <row r="19" spans="1:7" ht="15.75" customHeight="1" thickTop="1" thickBot="1">
      <c r="A19" s="793" t="str">
        <f>Datos!A19</f>
        <v>TOTAL JURISDICCIONES</v>
      </c>
      <c r="B19" s="808">
        <f>IF(ISNUMBER(NºAsuntos!G19/NºAsuntos!E19),NºAsuntos!G19/NºAsuntos!E19," - ")</f>
        <v>1.0588398942829322</v>
      </c>
      <c r="C19" s="809">
        <f>IF(ISNUMBER(NºAsuntos!I19/NºAsuntos!G19),NºAsuntos!I19/NºAsuntos!G19," - ")</f>
        <v>1.5931424067262216</v>
      </c>
      <c r="D19" s="810">
        <f>IF(ISNUMBER('Resol  Asuntos'!D19/NºAsuntos!G19),'Resol  Asuntos'!D19/NºAsuntos!G19," - ")</f>
        <v>0.20152390961639516</v>
      </c>
      <c r="E19" s="811">
        <f>IF(ISNUMBER((NºAsuntos!C19+NºAsuntos!E19)/NºAsuntos!G19),(NºAsuntos!C19+NºAsuntos!E19)/NºAsuntos!G19," - ")</f>
        <v>2.4340514976353127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FMGX/PR7wfxBRd/xGnhtlWnILz3tZR4DtXosZd2j9r0KNcrSNY6uhQGeWXd8zAT+0XPqcDQvvpiYAUF3z36XA==" saltValue="i8aF5iBmXU5u0dhZqiUZ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GIRONA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528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1494</v>
      </c>
      <c r="Y9" s="334">
        <f>SUM(W9:X9)</f>
        <v>1494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8239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853</v>
      </c>
      <c r="AJ9" s="229" t="str">
        <f>IF(ISNUMBER(Datos!BW9),Datos!BW9," - ")</f>
        <v xml:space="preserve"> - </v>
      </c>
      <c r="AK9" s="228" t="str">
        <f>IF(ISNUMBER(Datos!BX9),Datos!BX9," - ")</f>
        <v xml:space="preserve"> - </v>
      </c>
      <c r="AL9" s="243">
        <f>IF(ISNUMBER(NºAsuntos!G9/NºAsuntos!E9),NºAsuntos!G9/NºAsuntos!E9," - ")</f>
        <v>1.2371883656509695</v>
      </c>
      <c r="AM9" s="260">
        <f>IF(ISNUMBER(((NºAsuntos!I9/NºAsuntos!G9)*11)/factor_trimestre),((NºAsuntos!I9/NºAsuntos!G9)*11)/factor_trimestre," - ")</f>
        <v>4.2283795130142741</v>
      </c>
      <c r="AN9" s="244">
        <f>IF(ISNUMBER('Resol  Asuntos'!D9/NºAsuntos!G9),'Resol  Asuntos'!D9/NºAsuntos!G9," - ")</f>
        <v>0.23873495661908761</v>
      </c>
      <c r="AO9" s="245">
        <f>IF(ISNUMBER((NºAsuntos!C9+NºAsuntos!E9)/NºAsuntos!G9),(NºAsuntos!C9+NºAsuntos!E9)/NºAsuntos!G9," - ")</f>
        <v>2.7805765463196193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66</v>
      </c>
      <c r="AB10" s="334">
        <f>IF(ISNUMBER(Datos!R10),Datos!R10," - ")</f>
        <v>113</v>
      </c>
      <c r="AC10" s="334">
        <f t="shared" ref="AC10:AC12" si="1">IF(ISNUMBER(AA10+AB10),AA10+AB10," - ")</f>
        <v>179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0.47222222222222221</v>
      </c>
      <c r="AM10" s="260">
        <f>IF(ISNUMBER(((NºAsuntos!I10/NºAsuntos!G10)*11)/factor_trimestre),((NºAsuntos!I10/NºAsuntos!G10)*11)/factor_trimestre," - ")</f>
        <v>7.7647058823529411</v>
      </c>
      <c r="AN10" s="244">
        <f>IF(ISNUMBER('Resol  Asuntos'!D10/NºAsuntos!G10),'Resol  Asuntos'!D10/NºAsuntos!G10," - ")</f>
        <v>0.17647058823529413</v>
      </c>
      <c r="AO10" s="245">
        <f>IF(ISNUMBER((NºAsuntos!C10+NºAsuntos!E10)/NºAsuntos!G10),(NºAsuntos!C10+NºAsuntos!E10)/NºAsuntos!G10," - ")</f>
        <v>4.882352941176471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62</v>
      </c>
      <c r="Y11" s="334">
        <f t="shared" si="0"/>
        <v>62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540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105</v>
      </c>
      <c r="AJ11" s="231" t="str">
        <f>IF(ISNUMBER(Datos!BW11),Datos!BW11," - ")</f>
        <v xml:space="preserve"> - </v>
      </c>
      <c r="AK11" s="232" t="str">
        <f>IF(ISNUMBER(Datos!BX11),Datos!BX11," - ")</f>
        <v xml:space="preserve"> - </v>
      </c>
      <c r="AL11" s="243">
        <f>IF(ISNUMBER(NºAsuntos!G11/NºAsuntos!E11),NºAsuntos!G11/NºAsuntos!E11," - ")</f>
        <v>0.94010889292196009</v>
      </c>
      <c r="AM11" s="260">
        <f>IF(ISNUMBER(((NºAsuntos!I11/NºAsuntos!G11)*11)/factor_trimestre),((NºAsuntos!I11/NºAsuntos!G11)*11)/factor_trimestre," - ")</f>
        <v>3.5250965250965249</v>
      </c>
      <c r="AN11" s="244">
        <f>IF(ISNUMBER('Resol  Asuntos'!D11/NºAsuntos!G11),'Resol  Asuntos'!D11/NºAsuntos!G11," - ")</f>
        <v>0.20270270270270271</v>
      </c>
      <c r="AO11" s="245">
        <f>IF(ISNUMBER((NºAsuntos!C11+NºAsuntos!E11)/NºAsuntos!G11),(NºAsuntos!C11+NºAsuntos!E11)/NºAsuntos!G11," - ")</f>
        <v>2.7625482625482625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47</v>
      </c>
      <c r="G13" s="866">
        <f t="shared" si="3"/>
        <v>47</v>
      </c>
      <c r="H13" s="865">
        <f t="shared" si="3"/>
        <v>0</v>
      </c>
      <c r="I13" s="867">
        <f t="shared" si="3"/>
        <v>0</v>
      </c>
      <c r="J13" s="867">
        <f t="shared" si="3"/>
        <v>0</v>
      </c>
      <c r="K13" s="867">
        <f t="shared" si="3"/>
        <v>0</v>
      </c>
      <c r="L13" s="867">
        <f t="shared" si="3"/>
        <v>573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1556</v>
      </c>
      <c r="Y13" s="868">
        <f t="shared" si="4"/>
        <v>1573</v>
      </c>
      <c r="Z13" s="868">
        <f t="shared" si="4"/>
        <v>0</v>
      </c>
      <c r="AA13" s="868">
        <f t="shared" si="4"/>
        <v>66</v>
      </c>
      <c r="AB13" s="868">
        <f t="shared" si="4"/>
        <v>8892</v>
      </c>
      <c r="AC13" s="868">
        <f t="shared" si="4"/>
        <v>179</v>
      </c>
      <c r="AD13" s="868">
        <f t="shared" si="4"/>
        <v>0</v>
      </c>
      <c r="AE13" s="872">
        <f t="shared" si="4"/>
        <v>0</v>
      </c>
      <c r="AF13" s="865">
        <f t="shared" si="4"/>
        <v>0</v>
      </c>
      <c r="AG13" s="873">
        <f t="shared" si="4"/>
        <v>0</v>
      </c>
      <c r="AH13" s="870">
        <f t="shared" si="4"/>
        <v>0</v>
      </c>
      <c r="AI13" s="865">
        <f t="shared" si="4"/>
        <v>961</v>
      </c>
      <c r="AJ13" s="867">
        <f t="shared" si="4"/>
        <v>0</v>
      </c>
      <c r="AK13" s="870">
        <f>SUBTOTAL(9,AK9:AK12)</f>
        <v>0</v>
      </c>
      <c r="AL13" s="874">
        <f>IF(ISNUMBER(NºAsuntos!G13/NºAsuntos!E13),NºAsuntos!G13/NºAsuntos!E13," - ")</f>
        <v>1.182158273381295</v>
      </c>
      <c r="AM13" s="874">
        <f>IF(ISNUMBER(((NºAsuntos!I13/NºAsuntos!G13)*11)/factor_trimestre),((NºAsuntos!I13/NºAsuntos!G13)*11)/factor_trimestre," - ")</f>
        <v>4.1543330087633885</v>
      </c>
      <c r="AN13" s="875">
        <f>IF(ISNUMBER('Resol  Asuntos'!D13/NºAsuntos!G13),'Resol  Asuntos'!D13/NºAsuntos!G13," - ")</f>
        <v>0.23393378773125609</v>
      </c>
      <c r="AO13" s="876">
        <f>IF(ISNUMBER((NºAsuntos!C13+NºAsuntos!E13)/NºAsuntos!G13),(NºAsuntos!C13+NºAsuntos!E13)/NºAsuntos!G13," - ")</f>
        <v>2.7870009737098345</v>
      </c>
      <c r="AP13" s="877" t="str">
        <f t="shared" si="2"/>
        <v xml:space="preserve"> - </v>
      </c>
      <c r="AQ13" s="877">
        <f>IF(ISNUMBER((H13-W13+K13)/(F13)),(H13-W13+K13)/(F13)," - ")</f>
        <v>-0.36170212765957449</v>
      </c>
      <c r="AR13" s="878">
        <f>IF(ISNUMBER((Datos!P13-Datos!Q13)/(Datos!R13-Datos!P13+Datos!Q13)),(Datos!P13-Datos!Q13)/(Datos!R13-Datos!P13+Datos!Q13)," - ")</f>
        <v>-9.9544303797468356E-2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3239</v>
      </c>
      <c r="G15" s="333">
        <f>IF(ISNUMBER(IF(D_I="SI",Datos!I15,Datos!I15+Datos!AC15)),IF(D_I="SI",Datos!I15,Datos!I15+Datos!AC15)," - ")</f>
        <v>3220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3192</v>
      </c>
      <c r="X15" s="226">
        <f>IF(ISNUMBER(Datos!Q15),Datos!Q15," - ")</f>
        <v>107</v>
      </c>
      <c r="Y15" s="334">
        <f>SUM(W15)</f>
        <v>3192</v>
      </c>
      <c r="Z15" s="335" t="str">
        <f>IF(ISNUMBER(Datos!CC15),Datos!CC15," - ")</f>
        <v xml:space="preserve"> - </v>
      </c>
      <c r="AA15" s="332">
        <f>IF(ISNUMBER(IF(D_I="SI",Datos!L15,Datos!L15+Datos!AF15)),IF(D_I="SI",Datos!L15,Datos!L15+Datos!AF15)," - ")</f>
        <v>3431</v>
      </c>
      <c r="AB15" s="334">
        <f>IF(ISNUMBER(Datos!R15),Datos!R15," - ")</f>
        <v>346</v>
      </c>
      <c r="AC15" s="334">
        <f t="shared" ref="AC15:AC17" si="6">IF(ISNUMBER(AA15+AB15),AA15+AB15," - ")</f>
        <v>3777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565</v>
      </c>
      <c r="AJ15" s="231" t="str">
        <f>IF(ISNUMBER(Datos!BW15),Datos!BW15," - ")</f>
        <v xml:space="preserve"> - </v>
      </c>
      <c r="AK15" s="232" t="str">
        <f>IF(ISNUMBER(Datos!BX15),Datos!BX15," - ")</f>
        <v xml:space="preserve"> - </v>
      </c>
      <c r="AL15" s="243">
        <f>IF(ISNUMBER(NºAsuntos!G15/NºAsuntos!E15),NºAsuntos!G15/NºAsuntos!E15," - ")</f>
        <v>0.94326241134751776</v>
      </c>
      <c r="AM15" s="260">
        <f>IF(ISNUMBER(((NºAsuntos!I15/NºAsuntos!G15)*11)/factor_trimestre),((NºAsuntos!I15/NºAsuntos!G15)*11)/factor_trimestre," - ")</f>
        <v>2.149749373433584</v>
      </c>
      <c r="AN15" s="244">
        <f>IF(ISNUMBER('Resol  Asuntos'!D15/NºAsuntos!G15),'Resol  Asuntos'!D15/NºAsuntos!G15," - ")</f>
        <v>0.17700501253132833</v>
      </c>
      <c r="AO15" s="245">
        <f>IF(ISNUMBER((NºAsuntos!C15+NºAsuntos!E15)/NºAsuntos!G15),(NºAsuntos!C15+NºAsuntos!E15)/NºAsuntos!G15," - ")</f>
        <v>2.0689223057644108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1</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312</v>
      </c>
      <c r="X17" s="226">
        <f>IF(ISNUMBER(Datos!Q17),Datos!Q17," - ")</f>
        <v>0</v>
      </c>
      <c r="Y17" s="334">
        <f t="shared" si="7"/>
        <v>312</v>
      </c>
      <c r="Z17" s="335" t="str">
        <f>IF(ISNUMBER(Datos!CC17),Datos!CC17," - ")</f>
        <v xml:space="preserve"> - </v>
      </c>
      <c r="AA17" s="332">
        <f>IF(ISNUMBER(Datos!L17),Datos!L17,"-")</f>
        <v>161</v>
      </c>
      <c r="AB17" s="334">
        <f>IF(ISNUMBER(Datos!R17),Datos!R17," - ")</f>
        <v>6</v>
      </c>
      <c r="AC17" s="334">
        <f t="shared" si="6"/>
        <v>167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0.94545454545454544</v>
      </c>
      <c r="AM17" s="260">
        <f>IF(ISNUMBER(((NºAsuntos!I17/NºAsuntos!G17)*11)/factor_trimestre),((NºAsuntos!I17/NºAsuntos!G17)*11)/factor_trimestre," - ")</f>
        <v>1.0320512820512822</v>
      </c>
      <c r="AN17" s="244">
        <f>IF(ISNUMBER('Resol  Asuntos'!D17/NºAsuntos!G17),'Resol  Asuntos'!D17/NºAsuntos!G17," - ")</f>
        <v>2.564102564102564E-2</v>
      </c>
      <c r="AO17" s="245">
        <f>IF(ISNUMBER((NºAsuntos!C17+NºAsuntos!E17)/NºAsuntos!G17),(NºAsuntos!C17+NºAsuntos!E17)/NºAsuntos!G17," - ")</f>
        <v>1.516025641025641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3241</v>
      </c>
      <c r="G18" s="866">
        <f>SUBTOTAL(9,G15:G17)</f>
        <v>3365</v>
      </c>
      <c r="H18" s="865">
        <f t="shared" ref="H18:O18" si="10">SUBTOTAL(9,H14:H17)</f>
        <v>0</v>
      </c>
      <c r="I18" s="867">
        <f t="shared" si="10"/>
        <v>0</v>
      </c>
      <c r="J18" s="867">
        <f t="shared" si="10"/>
        <v>0</v>
      </c>
      <c r="K18" s="867">
        <f t="shared" si="10"/>
        <v>0</v>
      </c>
      <c r="L18" s="867">
        <f t="shared" si="10"/>
        <v>122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3504</v>
      </c>
      <c r="X18" s="867">
        <f t="shared" si="11"/>
        <v>107</v>
      </c>
      <c r="Y18" s="868">
        <f t="shared" si="11"/>
        <v>3504</v>
      </c>
      <c r="Z18" s="868">
        <f t="shared" si="11"/>
        <v>0</v>
      </c>
      <c r="AA18" s="868">
        <f t="shared" si="11"/>
        <v>3594</v>
      </c>
      <c r="AB18" s="868">
        <f t="shared" si="11"/>
        <v>353</v>
      </c>
      <c r="AC18" s="868">
        <f t="shared" si="11"/>
        <v>3947</v>
      </c>
      <c r="AD18" s="868">
        <f t="shared" si="11"/>
        <v>0</v>
      </c>
      <c r="AE18" s="872">
        <f t="shared" si="11"/>
        <v>0</v>
      </c>
      <c r="AF18" s="865">
        <f t="shared" si="11"/>
        <v>0</v>
      </c>
      <c r="AG18" s="873">
        <f t="shared" si="11"/>
        <v>0</v>
      </c>
      <c r="AH18" s="870">
        <f t="shared" si="11"/>
        <v>0</v>
      </c>
      <c r="AI18" s="865">
        <f t="shared" si="11"/>
        <v>573</v>
      </c>
      <c r="AJ18" s="867">
        <f t="shared" si="11"/>
        <v>0</v>
      </c>
      <c r="AK18" s="870">
        <f t="shared" si="11"/>
        <v>0</v>
      </c>
      <c r="AL18" s="874">
        <f>IF(ISNUMBER(NºAsuntos!G18/NºAsuntos!E18),NºAsuntos!G18/NºAsuntos!E18," - ")</f>
        <v>0.94345718901453957</v>
      </c>
      <c r="AM18" s="874">
        <f>IF(ISNUMBER(((NºAsuntos!I18/NºAsuntos!G18)*11)/factor_trimestre),((NºAsuntos!I18/NºAsuntos!G18)*11)/factor_trimestre," - ")</f>
        <v>2.0513698630136985</v>
      </c>
      <c r="AN18" s="875">
        <f>IF(ISNUMBER('Resol  Asuntos'!D18/NºAsuntos!G18),'Resol  Asuntos'!D18/NºAsuntos!G18," - ")</f>
        <v>0.16352739726027396</v>
      </c>
      <c r="AO18" s="876">
        <f>IF(ISNUMBER((NºAsuntos!C18+NºAsuntos!E18)/NºAsuntos!G18),(NºAsuntos!C18+NºAsuntos!E18)/NºAsuntos!G18," - ")</f>
        <v>2.0202625570776256</v>
      </c>
      <c r="AP18" s="877" t="str">
        <f t="shared" si="2"/>
        <v xml:space="preserve"> - </v>
      </c>
      <c r="AQ18" s="877">
        <f>IF(ISNUMBER((H18-W18+K18)/(F18)),(H18-W18+K18)/(F18)," - ")</f>
        <v>-1.0811477938907745</v>
      </c>
      <c r="AR18" s="878">
        <f>IF(ISNUMBER((Datos!P18-Datos!Q18)/(Datos!R18-Datos!P18+Datos!Q18)),(Datos!P18-Datos!Q18)/(Datos!R18-Datos!P18+Datos!Q18)," - ")</f>
        <v>4.4378698224852069E-2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3288</v>
      </c>
      <c r="G19" s="821">
        <f t="shared" si="13"/>
        <v>3412</v>
      </c>
      <c r="H19" s="820">
        <f t="shared" si="13"/>
        <v>0</v>
      </c>
      <c r="I19" s="822">
        <f t="shared" si="13"/>
        <v>0</v>
      </c>
      <c r="J19" s="822">
        <f t="shared" si="13"/>
        <v>0</v>
      </c>
      <c r="K19" s="881">
        <f t="shared" si="13"/>
        <v>0</v>
      </c>
      <c r="L19" s="822">
        <f t="shared" si="13"/>
        <v>695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3521</v>
      </c>
      <c r="X19" s="821">
        <f t="shared" si="14"/>
        <v>1663</v>
      </c>
      <c r="Y19" s="828">
        <f t="shared" si="14"/>
        <v>5077</v>
      </c>
      <c r="Z19" s="828">
        <f t="shared" si="14"/>
        <v>0</v>
      </c>
      <c r="AA19" s="828">
        <f t="shared" si="14"/>
        <v>3660</v>
      </c>
      <c r="AB19" s="828">
        <f t="shared" si="14"/>
        <v>9245</v>
      </c>
      <c r="AC19" s="828">
        <f t="shared" si="14"/>
        <v>4126</v>
      </c>
      <c r="AD19" s="828">
        <f t="shared" si="14"/>
        <v>0</v>
      </c>
      <c r="AE19" s="830">
        <f t="shared" si="14"/>
        <v>0</v>
      </c>
      <c r="AF19" s="831">
        <f t="shared" si="14"/>
        <v>0</v>
      </c>
      <c r="AG19" s="832">
        <f t="shared" si="14"/>
        <v>0</v>
      </c>
      <c r="AH19" s="830">
        <f t="shared" si="14"/>
        <v>0</v>
      </c>
      <c r="AI19" s="820">
        <f t="shared" si="14"/>
        <v>1534</v>
      </c>
      <c r="AJ19" s="820">
        <f t="shared" si="14"/>
        <v>0</v>
      </c>
      <c r="AK19" s="830">
        <f t="shared" si="14"/>
        <v>0</v>
      </c>
      <c r="AL19" s="884">
        <f>IF(ISNUMBER(NºAsuntos!G19/NºAsuntos!E19),NºAsuntos!G19/NºAsuntos!E19," - ")</f>
        <v>1.0588398942829322</v>
      </c>
      <c r="AM19" s="885">
        <f>IF(ISNUMBER(((NºAsuntos!I19/NºAsuntos!G19)*11)/factor_trimestre),((NºAsuntos!I19/NºAsuntos!G19)*11)/factor_trimestre," - ")</f>
        <v>3.1862848134524437</v>
      </c>
      <c r="AN19" s="885">
        <f>IF(ISNUMBER('Resol  Asuntos'!D19/NºAsuntos!G19),'Resol  Asuntos'!D19/NºAsuntos!G19," - ")</f>
        <v>0.20152390961639516</v>
      </c>
      <c r="AO19" s="886">
        <f>IF(ISNUMBER((NºAsuntos!C19+NºAsuntos!E19)/NºAsuntos!G19),(NºAsuntos!C19+NºAsuntos!E19)/NºAsuntos!G19," - ")</f>
        <v>2.4340514976353127</v>
      </c>
      <c r="AP19" s="887" t="str">
        <f t="shared" si="2"/>
        <v xml:space="preserve"> - </v>
      </c>
      <c r="AQ19" s="888">
        <f>IF(OR(ISNUMBER(FIND("01",Criterios!A8,1)),ISNUMBER(FIND("02",Criterios!A8,1)),ISNUMBER(FIND("03",Criterios!A8,1)),ISNUMBER(FIND("04",Criterios!A8,1))),(I19-W19+K19)/(F19-K19),(H19-W19+K19)/(F19-K19))</f>
        <v>-1.0708637469586375</v>
      </c>
      <c r="AR19" s="889">
        <f>IF(ISNUMBER((Datos!P19-Datos!Q19)/(Datos!R19-Datos!P19+Datos!Q19)),(Datos!P19-Datos!Q19)/(Datos!R19-Datos!P19+Datos!Q19)," - ")</f>
        <v>-9.4781161265054342E-2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1137.3333333333333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3.1001792062897122</v>
      </c>
      <c r="F21" s="252">
        <f>IF(ISNUMBER(STDEV(F8:F18)),STDEV(F8:F18),"-")</f>
        <v>1757.1901433823261</v>
      </c>
      <c r="G21" s="253">
        <f>IF(ISNUMBER(STDEV(G8:G18)),STDEV(G8:G18),"-")</f>
        <v>1670.6485766511958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1691.144070346068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402.35094844462054</v>
      </c>
      <c r="AJ21" s="252">
        <f t="shared" si="18"/>
        <v>0</v>
      </c>
      <c r="AK21" s="254">
        <f t="shared" si="18"/>
        <v>0</v>
      </c>
      <c r="AL21" s="249">
        <f t="shared" si="18"/>
        <v>0.24658518274701793</v>
      </c>
      <c r="AM21" s="250">
        <f t="shared" si="18"/>
        <v>2.2036333586664596</v>
      </c>
      <c r="AN21" s="250">
        <f t="shared" si="18"/>
        <v>7.157945843148833E-2</v>
      </c>
      <c r="AO21" s="251">
        <f t="shared" si="18"/>
        <v>1.0833411172737217</v>
      </c>
      <c r="AP21" s="291" t="str">
        <f t="shared" si="18"/>
        <v>-</v>
      </c>
      <c r="AQ21" s="292">
        <f t="shared" si="18"/>
        <v>0.50872490928735514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30/dfDT7IB5E+fAqAmMc/3ddW6d5evV2rWC+Jf4neCGESjB1ReKc3g+4a4+I4P4BbnbMCR+W9CaSsFqYThWPZQ==" saltValue="wAaFDJx48x7SP5pymvxV8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GIRONA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0.4457627118644068</v>
      </c>
      <c r="I9" s="350">
        <f>IF(ISNUMBER((Tasas!C9-Datos!BE9)/Datos!BE9),(Tasas!C9-Datos!BE9)/Datos!BE9," - ")</f>
        <v>6.358467315601983E-2</v>
      </c>
      <c r="J9" s="349">
        <f>IF(ISNUMBER((Tasas!D9-Datos!BF9)/Datos!BF9),(Tasas!D9-Datos!BF9)/Datos!BF9," - ")</f>
        <v>-0.57839171454215321</v>
      </c>
      <c r="K9" s="351">
        <f>IF(ISNUMBER((Tasas!E9-Datos!BG9)/Datos!BG9),(Tasas!E9-Datos!BG9)/Datos!BG9," - ")</f>
        <v>-6.9355404966195813E-2</v>
      </c>
      <c r="M9" t="e">
        <f>IF(Monitorios="SI",Datos!CE9,0)</f>
        <v>#REF!</v>
      </c>
      <c r="N9" t="e">
        <f>IF(Monitorios="SI",Datos!CF9,0)</f>
        <v>#REF!</v>
      </c>
      <c r="O9" t="e">
        <f>IF(Monitorios="SI",Datos!CG9,0)</f>
        <v>#REF!</v>
      </c>
      <c r="P9" t="e">
        <f>IF(Monitorios="SI",Datos!CH9,0)</f>
        <v>#REF!</v>
      </c>
      <c r="Q9">
        <f>IF(J_V="SI",0,Datos!AG9)</f>
        <v>59</v>
      </c>
      <c r="R9">
        <f>IF(J_V="SI",0,Datos!AH9)</f>
        <v>66</v>
      </c>
      <c r="S9">
        <f>IF(J_V="SI",0,Datos!AI9)</f>
        <v>72</v>
      </c>
      <c r="T9">
        <f>IF(J_V="SI",0,Datos!AJ9)</f>
        <v>53</v>
      </c>
    </row>
    <row r="10" spans="2:20" ht="14.25">
      <c r="B10" s="275" t="s">
        <v>246</v>
      </c>
      <c r="C10" s="7" t="str">
        <f>Datos!A10</f>
        <v>Jdos. Violencia contra la mujer</v>
      </c>
      <c r="D10" s="352">
        <f>IF(ISNUMBER((Datos!I10-Datos!S10)/Datos!S10),(Datos!I10-Datos!S10)/Datos!S10," - ")</f>
        <v>0.30555555555555558</v>
      </c>
      <c r="E10" s="348">
        <f>IF(ISNUMBER((Datos!J10-Datos!T10)/Datos!T10),(Datos!J10-Datos!T10)/Datos!T10," - ")</f>
        <v>-5.2631578947368418E-2</v>
      </c>
      <c r="F10" s="348">
        <f>IF(ISNUMBER((Datos!K10-Datos!U10)/Datos!U10),(Datos!K10-Datos!U10)/Datos!U10," - ")</f>
        <v>6.25E-2</v>
      </c>
      <c r="G10" s="349">
        <f>IF(ISNUMBER((Datos!L10-Datos!V10)/Datos!V10),(Datos!L10-Datos!V10)/Datos!V10," - ")</f>
        <v>0.13793103448275862</v>
      </c>
      <c r="H10" s="230">
        <f>IF(ISNUMBER((Datos!M10-Datos!W10)/Datos!W10),(Datos!M10-Datos!W10)/Datos!W10," - ")</f>
        <v>0</v>
      </c>
      <c r="I10" s="350">
        <f>IF(ISNUMBER((Tasas!C10-Datos!BE10)/Datos!BE10),(Tasas!C10-Datos!BE10)/Datos!BE10," - ")</f>
        <v>7.099391480730223E-2</v>
      </c>
      <c r="J10" s="349">
        <f>IF(ISNUMBER((Tasas!D10-Datos!BF10)/Datos!BF10),(Tasas!D10-Datos!BF10)/Datos!BF10," - ")</f>
        <v>-5.8823529411764643E-2</v>
      </c>
      <c r="K10" s="351">
        <f>IF(ISNUMBER((Tasas!E10-Datos!BG10)/Datos!BG10),(Tasas!E10-Datos!BG10)/Datos!BG10," - ")</f>
        <v>5.5643879173291028E-2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-0.13934426229508196</v>
      </c>
      <c r="I11" s="350">
        <f>IF(ISNUMBER((Tasas!C11-Datos!BE11)/Datos!BE11),(Tasas!C11-Datos!BE11)/Datos!BE11," - ")</f>
        <v>0.26054267208595944</v>
      </c>
      <c r="J11" s="349">
        <f>IF(ISNUMBER((Tasas!D11-Datos!BF11)/Datos!BF11),(Tasas!D11-Datos!BF11)/Datos!BF11," - ")</f>
        <v>-0.66314711212670385</v>
      </c>
      <c r="K11" s="351">
        <f>IF(ISNUMBER((Tasas!E11-Datos!BG11)/Datos!BG11),(Tasas!E11-Datos!BG11)/Datos!BG11," - ")</f>
        <v>0.14603530542395171</v>
      </c>
      <c r="M11" t="e">
        <f>IF(Monitorios="SI",Datos!CE11,0)</f>
        <v>#REF!</v>
      </c>
      <c r="N11" t="e">
        <f>IF(Monitorios="SI",Datos!CF11,0)</f>
        <v>#REF!</v>
      </c>
      <c r="O11" t="e">
        <f>IF(Monitorios="SI",Datos!CG11,0)</f>
        <v>#REF!</v>
      </c>
      <c r="P11" t="e">
        <f>IF(Monitorios="SI",Datos!CH11,0)</f>
        <v>#REF!</v>
      </c>
      <c r="Q11">
        <f>IF(J_V="SI",0,Datos!AG11)</f>
        <v>132</v>
      </c>
      <c r="R11">
        <f>IF(J_V="SI",0,Datos!AH11)</f>
        <v>251</v>
      </c>
      <c r="S11">
        <f>IF(J_V="SI",0,Datos!AI11)</f>
        <v>274</v>
      </c>
      <c r="T11">
        <f>IF(J_V="SI",0,Datos!AJ11)</f>
        <v>109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0.34405594405594403</v>
      </c>
      <c r="I13" s="357">
        <f>IF(ISNUMBER((Tasas!C13-Datos!BE13)/Datos!BE13),(Tasas!C13-Datos!BE13)/Datos!BE13," - ")</f>
        <v>9.4346111368879174E-2</v>
      </c>
      <c r="J13" s="355">
        <f>IF(ISNUMBER((Tasas!D13-Datos!BF13)/Datos!BF13),(Tasas!D13-Datos!BF13)/Datos!BF13," - ")</f>
        <v>-0.5898440087189043</v>
      </c>
      <c r="K13" s="358">
        <f>IF(ISNUMBER((Tasas!E13-Datos!BG13)/Datos!BG13),(Tasas!E13-Datos!BG13)/Datos!BG13," - ")</f>
        <v>-3.9003557632647734E-2</v>
      </c>
      <c r="M13" t="e">
        <f>IF(Monitorios="SI",Datos!CE13,0)</f>
        <v>#REF!</v>
      </c>
      <c r="N13" t="e">
        <f>IF(Monitorios="SI",Datos!CF13,0)</f>
        <v>#REF!</v>
      </c>
      <c r="O13" t="e">
        <f>IF(Monitorios="SI",Datos!CG13,0)</f>
        <v>#REF!</v>
      </c>
      <c r="P13" t="e">
        <f>IF(Monitorios="SI",Datos!CH13,0)</f>
        <v>#REF!</v>
      </c>
      <c r="Q13">
        <f>IF(J_V="SI",0,Datos!AG13)</f>
        <v>191</v>
      </c>
      <c r="R13">
        <f>IF(J_V="SI",0,Datos!AH13)</f>
        <v>317</v>
      </c>
      <c r="S13">
        <f>IF(J_V="SI",0,Datos!AI13)</f>
        <v>346</v>
      </c>
      <c r="T13">
        <f>IF(J_V="SI",0,Datos!AJ13)</f>
        <v>162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0.21007140172867342</v>
      </c>
      <c r="E15" s="348">
        <f>IF(ISNUMBER(
   IF(D_I="SI",(Datos!J15-Datos!T15)/Datos!T15,(Datos!J15+Datos!AD15-(Datos!T15+Datos!AL15))/(Datos!T15+Datos!AL15))
     ),IF(D_I="SI",(Datos!J15-Datos!T15)/Datos!T15,(Datos!J15+Datos!AD15-(Datos!T15+Datos!AL15))/(Datos!T15+Datos!AL15))," - ")</f>
        <v>0.10878112712975098</v>
      </c>
      <c r="F15" s="348">
        <f>IF(ISNUMBER(
   IF(D_I="SI",(Datos!K15-Datos!U15)/Datos!U15,(Datos!K15+Datos!AE15-(Datos!U15+Datos!AM15))/(Datos!U15+Datos!AM15))
     ),IF(D_I="SI",(Datos!K15-Datos!U15)/Datos!U15,(Datos!K15+Datos!AE15-(Datos!U15+Datos!AM15))/(Datos!U15+Datos!AM15))," - ")</f>
        <v>0.2391304347826087</v>
      </c>
      <c r="G15" s="349">
        <f>IF(ISNUMBER(
   IF(D_I="SI",(Datos!L15-Datos!V15)/Datos!V15,(Datos!L15+Datos!AF15-(Datos!V15+Datos!AN15))/(Datos!V15+Datos!AN15))
     ),IF(D_I="SI",(Datos!L15-Datos!V15)/Datos!V15,(Datos!L15+Datos!AF15-(Datos!V15+Datos!AN15))/(Datos!V15+Datos!AN15))," - ")</f>
        <v>8.6447118429385683E-2</v>
      </c>
      <c r="H15" s="230">
        <f>IF(ISNUMBER((Datos!M15-Datos!W15)/Datos!W15),(Datos!M15-Datos!W15)/Datos!W15," - ")</f>
        <v>0.56944444444444442</v>
      </c>
      <c r="I15" s="350">
        <f>IF(ISNUMBER((Tasas!C15-Datos!BE15)/Datos!BE15),(Tasas!C15-Datos!BE15)/Datos!BE15," - ")</f>
        <v>-0.12321811495172379</v>
      </c>
      <c r="J15" s="349">
        <f>IF(ISNUMBER((Tasas!D15-Datos!BF15)/Datos!BF15),(Tasas!D15-Datos!BF15)/Datos!BF15," - ")</f>
        <v>0.26656920077972729</v>
      </c>
      <c r="K15" s="351">
        <f>IF(ISNUMBER((Tasas!E15-Datos!BG15)/Datos!BG15),(Tasas!E15-Datos!BG15)/Datos!BG15," - ")</f>
        <v>-6.7119926544876266E-2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0.625</v>
      </c>
      <c r="E17" s="348">
        <f>IF(ISNUMBER(
   IF(D_I="SI",(Datos!J17-Datos!T17)/Datos!T17,(Datos!J17+Datos!AD17-(Datos!T17+Datos!AL17))/(Datos!T17+Datos!AL17))
     ),IF(D_I="SI",(Datos!J17-Datos!T17)/Datos!T17,(Datos!J17+Datos!AD17-(Datos!T17+Datos!AL17))/(Datos!T17+Datos!AL17))," - ")</f>
        <v>3.125E-2</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0.19259259259259259</v>
      </c>
      <c r="H17" s="230">
        <f>IF(ISNUMBER((Datos!M17-Datos!W17)/Datos!W17),(Datos!M17-Datos!W17)/Datos!W17," - ")</f>
        <v>0.33333333333333331</v>
      </c>
      <c r="I17" s="350">
        <f>IF(ISNUMBER((Tasas!C17-Datos!BE17)/Datos!BE17),(Tasas!C17-Datos!BE17)/Datos!BE17," - ")</f>
        <v>4.3518518518518588E-2</v>
      </c>
      <c r="J17" s="349">
        <f>IF(ISNUMBER((Tasas!D17-Datos!BF17)/Datos!BF17),(Tasas!D17-Datos!BF17)/Datos!BF17," - ")</f>
        <v>0.16666666666666655</v>
      </c>
      <c r="K17" s="351">
        <f>IF(ISNUMBER((Tasas!E17-Datos!BG17)/Datos!BG17),(Tasas!E17-Datos!BG17)/Datos!BG17," - ")</f>
        <v>1.4399509803921517E-2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0.2231915667030171</v>
      </c>
      <c r="E18" s="354">
        <f>IF(ISNUMBER(
   IF(D_I="SI",(Datos!J18-Datos!T18)/Datos!T18,(Datos!J18+Datos!AD18-(Datos!T18+Datos!AL18))/(Datos!T18+Datos!AL18))
     ),IF(D_I="SI",(Datos!J18-Datos!T18)/Datos!T18,(Datos!J18+Datos!AD18-(Datos!T18+Datos!AL18))/(Datos!T18+Datos!AL18))," - ")</f>
        <v>0.10142348754448399</v>
      </c>
      <c r="F18" s="354">
        <f>IF(ISNUMBER(
   IF(D_I="SI",(Datos!K18-Datos!U18)/Datos!U18,(Datos!K18+Datos!AE18-(Datos!U18+Datos!AM18))/(Datos!U18+Datos!AM18))
     ),IF(D_I="SI",(Datos!K18-Datos!U18)/Datos!U18,(Datos!K18+Datos!AE18-(Datos!U18+Datos!AM18))/(Datos!U18+Datos!AM18))," - ")</f>
        <v>0.22990522990522991</v>
      </c>
      <c r="G18" s="355">
        <f>IF(ISNUMBER(
   IF(D_I="SI",(Datos!L18-Datos!V18)/Datos!V18,(Datos!L18+Datos!AF18-(Datos!V18+Datos!AN18))/(Datos!V18+Datos!AN18))
     ),IF(D_I="SI",(Datos!L18-Datos!V18)/Datos!V18,(Datos!L18+Datos!AF18-(Datos!V18+Datos!AN18))/(Datos!V18+Datos!AN18))," - ")</f>
        <v>9.0743550834597869E-2</v>
      </c>
      <c r="H18" s="356">
        <f>IF(ISNUMBER((Datos!M18-Datos!W18)/Datos!W18),(Datos!M18-Datos!W18)/Datos!W18," - ")</f>
        <v>0.56557377049180324</v>
      </c>
      <c r="I18" s="357">
        <f>IF(ISNUMBER((Tasas!C18-Datos!BE18)/Datos!BE18),(Tasas!C18-Datos!BE18)/Datos!BE18," - ")</f>
        <v>-0.11314829442700652</v>
      </c>
      <c r="J18" s="355">
        <f>IF(ISNUMBER((Tasas!D18-Datos!BF18)/Datos!BF18),(Tasas!D18-Datos!BF18)/Datos!BF18," - ")</f>
        <v>0.27292228085934578</v>
      </c>
      <c r="K18" s="358">
        <f>IF(ISNUMBER((Tasas!E18-Datos!BG18)/Datos!BG18),(Tasas!E18-Datos!BG18)/Datos!BG18," - ")</f>
        <v>-5.9982357485847577E-2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0.28240217145442209</v>
      </c>
      <c r="E19" s="363">
        <f>IF(ISNUMBER(
   IF(J_V="SI",(Datos!J19-Datos!T19)/Datos!T19,(Datos!J19+Datos!Z19-(Datos!T19+Datos!AH19))/(Datos!T19+Datos!AH19))
     ),IF(J_V="SI",(Datos!J19-Datos!T19)/Datos!T19,(Datos!J19+Datos!Z19-(Datos!T19+Datos!AH19))/(Datos!T19+Datos!AH19))," - ")</f>
        <v>-1.4935598794190189E-2</v>
      </c>
      <c r="F19" s="363">
        <f>IF(ISNUMBER(
   IF(J_V="SI",(Datos!K19-Datos!U19)/Datos!U19,(Datos!K19+Datos!AA19-(Datos!U19+Datos!AI19))/(Datos!U19+Datos!AI19))
     ),IF(J_V="SI",(Datos!K19-Datos!U19)/Datos!U19,(Datos!K19+Datos!AA19-(Datos!U19+Datos!AI19))/(Datos!U19+Datos!AI19))," - ")</f>
        <v>0.20767888307155322</v>
      </c>
      <c r="G19" s="364">
        <f>IF(ISNUMBER(
   IF(J_V="SI",(Datos!L19-Datos!V19)/Datos!V19,(Datos!L19+Datos!AB19-(Datos!V19+Datos!AJ19))/(Datos!V19+Datos!AJ19))
     ),IF(J_V="SI",(Datos!L19-Datos!V19)/Datos!V19,(Datos!L19+Datos!AB19-(Datos!V19+Datos!AJ19))/(Datos!V19+Datos!AJ19))," - ")</f>
        <v>0.23104253375291847</v>
      </c>
      <c r="H19" s="365">
        <f>IF(ISNUMBER((Datos!M19-Datos!W19)/Datos!W19),(Datos!M19-Datos!W19)/Datos!W19," - ")</f>
        <v>0.41905642923219244</v>
      </c>
      <c r="I19" s="362">
        <f>IF(ISNUMBER((Tasas!C19-Datos!BE19)/Datos!BE19),(Tasas!C19-Datos!BE19)/Datos!BE19," - ")</f>
        <v>1.9345913064193986E-2</v>
      </c>
      <c r="J19" s="363">
        <f>IF(ISNUMBER((Tasas!D19-Datos!BF19)/Datos!BF19),(Tasas!D19-Datos!BF19)/Datos!BF19," - ")</f>
        <v>-0.45624777298281732</v>
      </c>
      <c r="K19" s="364">
        <f>IF(ISNUMBER((Tasas!E19-Datos!BG19)/Datos!BG19),(Tasas!E19-Datos!BG19)/Datos!BG19," - ")</f>
        <v>-4.9453123321228219E-2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0.22689946756675691</v>
      </c>
      <c r="E21" s="278">
        <f t="shared" si="1"/>
        <v>7.5173506730587022E-2</v>
      </c>
      <c r="F21" s="278">
        <f t="shared" si="1"/>
        <v>8.2971437103985024E-2</v>
      </c>
      <c r="G21" s="279">
        <f t="shared" si="1"/>
        <v>7.1185693710826864E-2</v>
      </c>
      <c r="H21" s="285">
        <f t="shared" si="1"/>
        <v>0.27398336070064216</v>
      </c>
      <c r="I21" s="277">
        <f t="shared" si="1"/>
        <v>0.13113409456198535</v>
      </c>
      <c r="J21" s="278">
        <f t="shared" si="1"/>
        <v>0.42792508375460769</v>
      </c>
      <c r="K21" s="279">
        <f t="shared" si="1"/>
        <v>8.0633580690698439E-2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Kbmt4QYtKz8oYjXGheURfeS8RfWLZraLI9nyB59wa540KLnz7dODUacaEqBTE660kl6eLZiXRPI6U4iKVDLOg==" saltValue="GFs7jUDpz07HqnRaPIa1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23.256087321578509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36</v>
      </c>
      <c r="F10" s="226">
        <f>IF(ISNUMBER(Datos!K10),Datos!K10," - ")</f>
        <v>17</v>
      </c>
      <c r="G10" s="1034" t="str">
        <f>IF(Datos!E10&lt;&gt;"",Datos!E10,Datos!D10)</f>
        <v>37</v>
      </c>
      <c r="H10" s="227">
        <f>IF(ISNUMBER(Datos!L10),Datos!L10," - ")</f>
        <v>66</v>
      </c>
      <c r="I10" s="1044" t="str">
        <f>IF(ISNUMBER(Datos!AS10/Datos!BM10),Datos!AS10/Datos!BM10," - ")</f>
        <v xml:space="preserve"> - </v>
      </c>
      <c r="J10" s="1045">
        <f>IF(ISNUMBER(Datos!BY10/Datos!CN10),Datos!BY10/Datos!CN10," - ")</f>
        <v>0</v>
      </c>
      <c r="K10" s="230">
        <f t="shared" ref="K10:K12" si="1">IF(ISNUMBER((E10-F10)/C10),(E10-F10)/C10," - ")</f>
        <v>0.40425531914893614</v>
      </c>
      <c r="L10" s="1025">
        <f>IF(ISNUMBER(NºAsuntos!I10/NºAsuntos!G10),(NºAsuntos!I10/NºAsuntos!G10)*11," - ")</f>
        <v>42.705882352941174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19.388030888030887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36</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3239</v>
      </c>
      <c r="D15" s="225">
        <f>IF(ISNUMBER(IF(D_I="SI",Datos!I15,Datos!I15+Datos!AC15)),IF(D_I="SI",Datos!I15,Datos!I15+Datos!AC15)," - ")</f>
        <v>3220</v>
      </c>
      <c r="E15" s="226">
        <f>IF(ISNUMBER(IF(D_I="SI",Datos!J15,Datos!J15+Datos!AD15)),IF(D_I="SI",Datos!J15,Datos!J15+Datos!AD15)," - ")</f>
        <v>3384</v>
      </c>
      <c r="F15" s="226">
        <f>IF(ISNUMBER(IF(D_I="SI",Datos!K15,Datos!K15+Datos!AE15)),IF(D_I="SI",Datos!K15,Datos!K15+Datos!AE15)," - ")</f>
        <v>3192</v>
      </c>
      <c r="G15" s="1034" t="str">
        <f>IF(Datos!E15&lt;&gt;"",Datos!E15,Datos!D15)</f>
        <v>03</v>
      </c>
      <c r="H15" s="227">
        <f>IF(ISNUMBER(IF(D_I="SI",Datos!L15,Datos!L15+Datos!AF15)),IF(D_I="SI",Datos!L15,Datos!L15+Datos!AF15)," - ")</f>
        <v>3431</v>
      </c>
      <c r="I15" s="1044" t="str">
        <f>IF(ISNUMBER(Datos!AS15/Datos!BM15),Datos!AS15/Datos!BM15," - ")</f>
        <v xml:space="preserve"> - </v>
      </c>
      <c r="J15" s="1045">
        <f>IF(ISNUMBER(Datos!BY15/Datos!CN15),Datos!BY15/Datos!CN15," - ")</f>
        <v>0</v>
      </c>
      <c r="K15" s="230">
        <f t="shared" ref="K15:K17" si="3">IF(ISNUMBER((E15-F15)/C15),(E15-F15)/C15," - ")</f>
        <v>5.9277554800864461E-2</v>
      </c>
      <c r="L15" s="1025">
        <f>IF(ISNUMBER(NºAsuntos!I15/NºAsuntos!G15),(NºAsuntos!I15/NºAsuntos!G15)*11," - ")</f>
        <v>11.823621553884712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143</v>
      </c>
      <c r="D17" s="225">
        <f>IF(ISNUMBER(IF(D_I="SI",Datos!I17,Datos!I17+Datos!AC17)),IF(D_I="SI",Datos!I17,Datos!I17+Datos!AC17)," - ")</f>
        <v>143</v>
      </c>
      <c r="E17" s="226">
        <f>IF(ISNUMBER(IF(D_I="SI",Datos!J17,Datos!J17+Datos!AD17)),IF(D_I="SI",Datos!J17,Datos!J17+Datos!AD17)," - ")</f>
        <v>330</v>
      </c>
      <c r="F17" s="226">
        <f>IF(ISNUMBER(IF(D_I="SI",Datos!K17,Datos!K17+Datos!AE17)),IF(D_I="SI",Datos!K17,Datos!K17+Datos!AE17)," - ")</f>
        <v>312</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0.12587412587412589</v>
      </c>
      <c r="L17" s="1025">
        <f>IF(ISNUMBER(NºAsuntos!I17/NºAsuntos!G17),(NºAsuntos!I17/NºAsuntos!G17)*11," - ")</f>
        <v>5.676282051282052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3384</v>
      </c>
      <c r="D18" s="1049">
        <f>SUBTOTAL(9,D15:D17)</f>
        <v>3365</v>
      </c>
      <c r="E18" s="1050">
        <f>SUBTOTAL(9,E15:E17)</f>
        <v>3714</v>
      </c>
      <c r="F18" s="1050">
        <f>SUBTOTAL(9,F15:F17)</f>
        <v>3504</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3431</v>
      </c>
      <c r="D19" s="1071">
        <f>SUBTOTAL(9,D9:D18)</f>
        <v>3412</v>
      </c>
      <c r="E19" s="1072">
        <f>SUBTOTAL(9,E9:E18)</f>
        <v>3750</v>
      </c>
      <c r="F19" s="1072">
        <f>SUBTOTAL(9,F9:F18)</f>
        <v>3521</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Sbh5iFqomtmhTMNojiS9xVf5rEoKrQ6450GD28VNSzAlzF5tseGdmiqJESgU9N47mWXLAD+F5T/CjxSMV1Q94g==" saltValue="OHblDV/UCa5R/wuqupnW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6nMtXc/SLtZysWzSIzkoReBgH8y1EqIKNGZ+rkqfX8J1URMB6OCv3n3lt9C4kmmZkENbOsBq0rqeR+YyM7v/w==" saltValue="rwgtAYG31FsA+vuX407x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6980</v>
      </c>
      <c r="J9" s="181">
        <v>2813</v>
      </c>
      <c r="K9" s="181">
        <v>3500</v>
      </c>
      <c r="L9" s="181">
        <v>7478</v>
      </c>
      <c r="M9" s="181">
        <v>853</v>
      </c>
      <c r="N9" s="181">
        <v>1273</v>
      </c>
      <c r="O9" s="181">
        <v>1324</v>
      </c>
      <c r="P9" s="181">
        <v>528</v>
      </c>
      <c r="Q9" s="181">
        <v>1494</v>
      </c>
      <c r="R9" s="181">
        <v>8239</v>
      </c>
      <c r="S9" s="181">
        <v>5152</v>
      </c>
      <c r="T9" s="181">
        <v>3292</v>
      </c>
      <c r="U9" s="181">
        <v>2796</v>
      </c>
      <c r="V9" s="181">
        <v>5648</v>
      </c>
      <c r="W9" s="181">
        <v>590</v>
      </c>
      <c r="X9" s="188">
        <v>1624</v>
      </c>
      <c r="Y9" s="191">
        <v>67</v>
      </c>
      <c r="Z9" s="181">
        <v>75</v>
      </c>
      <c r="AA9" s="181">
        <v>73</v>
      </c>
      <c r="AB9" s="181">
        <v>76</v>
      </c>
      <c r="AC9" s="181">
        <v>0</v>
      </c>
      <c r="AD9" s="181">
        <v>0</v>
      </c>
      <c r="AE9" s="181">
        <v>0</v>
      </c>
      <c r="AF9" s="188">
        <v>0</v>
      </c>
      <c r="AG9" s="191">
        <v>59</v>
      </c>
      <c r="AH9" s="181">
        <v>66</v>
      </c>
      <c r="AI9" s="181">
        <v>72</v>
      </c>
      <c r="AJ9" s="192">
        <v>53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5211</v>
      </c>
      <c r="AZ9" s="123">
        <f>IF(ISNUMBER(IF(J_V="SI",T9,T9+AH9)),IF(J_V="SI",T9,T9+AH9)," - ")</f>
        <v>3358</v>
      </c>
      <c r="BA9" s="124">
        <f>IF(ISNUMBER(IF(J_V="SI",U9,U9+AI9)),IF(J_V="SI",U9,U9+AI9)," - ")</f>
        <v>2868</v>
      </c>
      <c r="BB9" s="124">
        <f>IF(ISNUMBER(IF(J_V="SI",V9,V9+AJ9)),IF(J_V="SI",V9,V9+AJ9)," - ")</f>
        <v>5701</v>
      </c>
      <c r="BC9" s="125">
        <f>IF(ISNUMBER(X9),X9," - ")</f>
        <v>1624</v>
      </c>
      <c r="BD9" s="126">
        <f>IF(ISNUMBER(BA9/AZ9),BA9/AZ9," - ")</f>
        <v>0.85407980941036332</v>
      </c>
      <c r="BE9" s="127">
        <f>IF(ISNUMBER(BB9/BA9),BB9/BA9, " - ")</f>
        <v>1.9877963737796374</v>
      </c>
      <c r="BF9" s="127">
        <f>IF(ISNUMBER(BC9/BA9),BC9/BA9, " - ")</f>
        <v>0.5662482566248257</v>
      </c>
      <c r="BG9" s="196">
        <f>IF(ISNUMBER((AY9+AZ9)/BA9),(AY9+AZ9)/BA9," - ")</f>
        <v>2.9877963737796374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36</v>
      </c>
      <c r="K10" s="181">
        <v>17</v>
      </c>
      <c r="L10" s="181">
        <v>66</v>
      </c>
      <c r="M10" s="181">
        <v>3</v>
      </c>
      <c r="N10" s="181">
        <v>9</v>
      </c>
      <c r="O10" s="181">
        <v>2</v>
      </c>
      <c r="P10" s="181">
        <v>5</v>
      </c>
      <c r="Q10" s="181">
        <v>0</v>
      </c>
      <c r="R10" s="181">
        <v>113</v>
      </c>
      <c r="S10" s="181">
        <v>36</v>
      </c>
      <c r="T10" s="181">
        <v>38</v>
      </c>
      <c r="U10" s="181">
        <v>16</v>
      </c>
      <c r="V10" s="181">
        <v>58</v>
      </c>
      <c r="W10" s="181">
        <v>3</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36</v>
      </c>
      <c r="AZ10" s="129">
        <f t="shared" si="0"/>
        <v>38</v>
      </c>
      <c r="BA10" s="129">
        <f t="shared" si="0"/>
        <v>16</v>
      </c>
      <c r="BB10" s="129">
        <f t="shared" si="0"/>
        <v>58</v>
      </c>
      <c r="BC10" s="125">
        <f t="shared" si="0"/>
        <v>3</v>
      </c>
      <c r="BD10" s="126">
        <f>IF(ISNUMBER(BA10/AZ10),BA10/AZ10," - ")</f>
        <v>0.42105263157894735</v>
      </c>
      <c r="BE10" s="127">
        <f>IF(ISNUMBER(BB10/BA10),BB10/BA10, " - ")</f>
        <v>3.625</v>
      </c>
      <c r="BF10" s="127">
        <f>IF(ISNUMBER(BC10/BA10),BC10/BA10, " - ")</f>
        <v>0.1875</v>
      </c>
      <c r="BG10" s="196">
        <f>IF(ISNUMBER((AY10+AZ10)/BA10),(AY10+AZ10)/BA10," - ")</f>
        <v>4.625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639</v>
      </c>
      <c r="J11" s="183">
        <v>336</v>
      </c>
      <c r="K11" s="183">
        <v>307</v>
      </c>
      <c r="L11" s="183">
        <v>668</v>
      </c>
      <c r="M11" s="183">
        <v>105</v>
      </c>
      <c r="N11" s="183">
        <v>376</v>
      </c>
      <c r="O11" s="181">
        <v>113</v>
      </c>
      <c r="P11" s="183">
        <v>40</v>
      </c>
      <c r="Q11" s="183">
        <v>62</v>
      </c>
      <c r="R11" s="183">
        <v>540</v>
      </c>
      <c r="S11" s="183">
        <v>712</v>
      </c>
      <c r="T11" s="183">
        <v>279</v>
      </c>
      <c r="U11" s="183">
        <v>296</v>
      </c>
      <c r="V11" s="183">
        <v>688</v>
      </c>
      <c r="W11" s="183">
        <v>122</v>
      </c>
      <c r="X11" s="189">
        <v>343</v>
      </c>
      <c r="Y11" s="191">
        <v>241</v>
      </c>
      <c r="Z11" s="181">
        <v>215</v>
      </c>
      <c r="AA11" s="181">
        <v>211</v>
      </c>
      <c r="AB11" s="181">
        <v>245</v>
      </c>
      <c r="AC11" s="183">
        <v>0</v>
      </c>
      <c r="AD11" s="183">
        <v>0</v>
      </c>
      <c r="AE11" s="183">
        <v>0</v>
      </c>
      <c r="AF11" s="189">
        <v>0</v>
      </c>
      <c r="AG11" s="202">
        <v>132</v>
      </c>
      <c r="AH11" s="183">
        <v>251</v>
      </c>
      <c r="AI11" s="183">
        <v>274</v>
      </c>
      <c r="AJ11" s="203">
        <v>109</v>
      </c>
      <c r="AK11" s="182">
        <v>0</v>
      </c>
      <c r="AL11" s="183">
        <v>0</v>
      </c>
      <c r="AM11" s="183">
        <v>0</v>
      </c>
      <c r="AN11" s="189">
        <v>0</v>
      </c>
      <c r="AO11" s="259">
        <v>2</v>
      </c>
      <c r="AP11" s="155">
        <v>2</v>
      </c>
      <c r="AQ11" s="155">
        <v>2</v>
      </c>
      <c r="AR11" s="154">
        <v>2</v>
      </c>
      <c r="AS11" s="340" t="s">
        <v>793</v>
      </c>
      <c r="AT11" s="203"/>
      <c r="AU11" s="202"/>
      <c r="AV11" s="203"/>
      <c r="AW11" s="202"/>
      <c r="AX11" s="203"/>
      <c r="AY11" s="126">
        <f t="shared" ref="AY11:BB12" si="1">IF(ISNUMBER(IF(J_V="SI",S11,S11+AG11)),IF(J_V="SI",S11,S11+AG11)," - ")</f>
        <v>844</v>
      </c>
      <c r="AZ11" s="127">
        <f t="shared" si="1"/>
        <v>530</v>
      </c>
      <c r="BA11" s="127">
        <f t="shared" si="1"/>
        <v>570</v>
      </c>
      <c r="BB11" s="127">
        <f t="shared" si="1"/>
        <v>797</v>
      </c>
      <c r="BC11" s="125">
        <f>IF(ISNUMBER(X11),X11," - ")</f>
        <v>343</v>
      </c>
      <c r="BD11" s="126">
        <f t="shared" ref="BD11:BD12" si="2">IF(ISNUMBER(BA11/AZ11),BA11/AZ11," - ")</f>
        <v>1.0754716981132075</v>
      </c>
      <c r="BE11" s="127">
        <f t="shared" ref="BE11:BE12" si="3">IF(ISNUMBER(BB11/BA11),BB11/BA11, " - ")</f>
        <v>1.3982456140350876</v>
      </c>
      <c r="BF11" s="127">
        <f t="shared" ref="BF11:BF12" si="4">IF(ISNUMBER(BC11/BA11),BC11/BA11, " - ")</f>
        <v>0.60175438596491226</v>
      </c>
      <c r="BG11" s="196">
        <f t="shared" ref="BG11:BG12" si="5">IF(ISNUMBER((AY11+AZ11)/BA11),(AY11+AZ11)/BA11," - ")</f>
        <v>2.4105263157894736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7666</v>
      </c>
      <c r="J13" s="184">
        <f t="shared" si="6"/>
        <v>3185</v>
      </c>
      <c r="K13" s="184">
        <f t="shared" si="6"/>
        <v>3824</v>
      </c>
      <c r="L13" s="184">
        <f t="shared" si="6"/>
        <v>8212</v>
      </c>
      <c r="M13" s="184">
        <f t="shared" si="6"/>
        <v>961</v>
      </c>
      <c r="N13" s="184">
        <f t="shared" si="6"/>
        <v>1658</v>
      </c>
      <c r="O13" s="184">
        <f t="shared" si="6"/>
        <v>1439</v>
      </c>
      <c r="P13" s="184">
        <f t="shared" si="6"/>
        <v>573</v>
      </c>
      <c r="Q13" s="184">
        <f t="shared" si="6"/>
        <v>1556</v>
      </c>
      <c r="R13" s="184">
        <f t="shared" si="6"/>
        <v>8892</v>
      </c>
      <c r="S13" s="184">
        <f t="shared" si="6"/>
        <v>5900</v>
      </c>
      <c r="T13" s="184">
        <f t="shared" si="6"/>
        <v>3609</v>
      </c>
      <c r="U13" s="184">
        <f t="shared" si="6"/>
        <v>3108</v>
      </c>
      <c r="V13" s="184">
        <f t="shared" si="6"/>
        <v>6394</v>
      </c>
      <c r="W13" s="184">
        <f t="shared" si="6"/>
        <v>715</v>
      </c>
      <c r="X13" s="184">
        <f t="shared" si="6"/>
        <v>1973</v>
      </c>
      <c r="Y13" s="184">
        <f t="shared" si="6"/>
        <v>308</v>
      </c>
      <c r="Z13" s="184">
        <f t="shared" si="6"/>
        <v>290</v>
      </c>
      <c r="AA13" s="184">
        <f t="shared" si="6"/>
        <v>284</v>
      </c>
      <c r="AB13" s="184">
        <f t="shared" si="6"/>
        <v>321</v>
      </c>
      <c r="AC13" s="184">
        <f t="shared" si="6"/>
        <v>0</v>
      </c>
      <c r="AD13" s="184">
        <f t="shared" si="6"/>
        <v>0</v>
      </c>
      <c r="AE13" s="184">
        <f t="shared" si="6"/>
        <v>0</v>
      </c>
      <c r="AF13" s="184">
        <f>SUBTOTAL(9,AF9:AF12)</f>
        <v>0</v>
      </c>
      <c r="AG13" s="184">
        <f t="shared" ref="AG13:AT13" si="7">SUBTOTAL(9,AG8:AG12)</f>
        <v>191</v>
      </c>
      <c r="AH13" s="184">
        <f t="shared" si="7"/>
        <v>317</v>
      </c>
      <c r="AI13" s="184">
        <f t="shared" si="7"/>
        <v>346</v>
      </c>
      <c r="AJ13" s="184">
        <f t="shared" si="7"/>
        <v>162</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6091</v>
      </c>
      <c r="AZ13" s="184">
        <f>SUBTOTAL(9,AZ8:AZ12)</f>
        <v>3926</v>
      </c>
      <c r="BA13" s="184">
        <f>SUBTOTAL(9,BA8:BA12)</f>
        <v>3454</v>
      </c>
      <c r="BB13" s="184">
        <f>SUBTOTAL(9,BB8:BB12)</f>
        <v>6556</v>
      </c>
      <c r="BC13" s="184">
        <f>SUBTOTAL(9,BC8:BC12)</f>
        <v>1970</v>
      </c>
      <c r="BD13" s="205">
        <f>IF(ISNUMBER(BA13/AZ13),BA13/AZ13," - ")</f>
        <v>0.87977585328578711</v>
      </c>
      <c r="BE13" s="206">
        <f>IF(ISNUMBER(BB13/BA13),BB13/BA13, " - ")</f>
        <v>1.8980891719745223</v>
      </c>
      <c r="BF13" s="206">
        <f>IF(ISNUMBER(BC13/BA13),BC13/BA13, " - ")</f>
        <v>0.57035321366531555</v>
      </c>
      <c r="BG13" s="207">
        <f>IF(ISNUMBER((AY13+AZ13)/BA13),(AY13+AZ13)/BA13," - ")</f>
        <v>2.90011580775912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3220</v>
      </c>
      <c r="J15" s="183">
        <v>3384</v>
      </c>
      <c r="K15" s="183">
        <v>3192</v>
      </c>
      <c r="L15" s="183">
        <v>3431</v>
      </c>
      <c r="M15" s="183">
        <v>565</v>
      </c>
      <c r="N15" s="183">
        <v>1846</v>
      </c>
      <c r="O15" s="181">
        <v>76</v>
      </c>
      <c r="P15" s="183">
        <v>122</v>
      </c>
      <c r="Q15" s="183">
        <v>107</v>
      </c>
      <c r="R15" s="183">
        <v>346</v>
      </c>
      <c r="S15" s="183">
        <v>2661</v>
      </c>
      <c r="T15" s="183">
        <v>3052</v>
      </c>
      <c r="U15" s="183">
        <v>2576</v>
      </c>
      <c r="V15" s="183">
        <v>3158</v>
      </c>
      <c r="W15" s="183">
        <v>360</v>
      </c>
      <c r="X15" s="189">
        <v>1430</v>
      </c>
      <c r="Y15" s="202">
        <v>0</v>
      </c>
      <c r="Z15" s="183">
        <v>0</v>
      </c>
      <c r="AA15" s="183">
        <v>0</v>
      </c>
      <c r="AB15" s="183">
        <v>0</v>
      </c>
      <c r="AC15" s="183">
        <v>4</v>
      </c>
      <c r="AD15" s="183">
        <v>29</v>
      </c>
      <c r="AE15" s="183">
        <v>24</v>
      </c>
      <c r="AF15" s="189">
        <v>9</v>
      </c>
      <c r="AG15" s="202">
        <v>0</v>
      </c>
      <c r="AH15" s="183">
        <v>0</v>
      </c>
      <c r="AI15" s="183">
        <v>0</v>
      </c>
      <c r="AJ15" s="203">
        <v>0</v>
      </c>
      <c r="AK15" s="182">
        <v>4</v>
      </c>
      <c r="AL15" s="183">
        <v>64</v>
      </c>
      <c r="AM15" s="183">
        <v>50</v>
      </c>
      <c r="AN15" s="189">
        <v>18</v>
      </c>
      <c r="AO15" s="259">
        <v>4</v>
      </c>
      <c r="AP15" s="155">
        <v>4</v>
      </c>
      <c r="AQ15" s="155">
        <v>4</v>
      </c>
      <c r="AR15" s="155">
        <v>4</v>
      </c>
      <c r="AS15" s="340" t="s">
        <v>519</v>
      </c>
      <c r="AT15" s="203" t="s">
        <v>326</v>
      </c>
      <c r="AU15" s="202"/>
      <c r="AV15" s="203"/>
      <c r="AW15" s="202"/>
      <c r="AX15" s="203"/>
      <c r="AY15" s="128">
        <f t="shared" ref="AY15:BB16" si="9">IF(ISNUMBER(IF(D_I="SI",S15,S15+AK15)),IF(D_I="SI",S15,S15+AK15)," - ")</f>
        <v>2661</v>
      </c>
      <c r="AZ15" s="129">
        <f t="shared" si="9"/>
        <v>3052</v>
      </c>
      <c r="BA15" s="129">
        <f t="shared" si="9"/>
        <v>2576</v>
      </c>
      <c r="BB15" s="129">
        <f t="shared" si="9"/>
        <v>3158</v>
      </c>
      <c r="BC15" s="125">
        <f>IF(ISNUMBER(W15),W15," - ")</f>
        <v>360</v>
      </c>
      <c r="BD15" s="126">
        <f>IF(ISNUMBER(BA15/AZ15),BA15/AZ15," - ")</f>
        <v>0.84403669724770647</v>
      </c>
      <c r="BE15" s="127">
        <f>IF(ISNUMBER(BB15/BA15),BB15/BA15, " - ")</f>
        <v>1.2259316770186335</v>
      </c>
      <c r="BF15" s="127">
        <f>IF(ISNUMBER(BC15/BA15),BC15/BA15, " - ")</f>
        <v>0.13975155279503104</v>
      </c>
      <c r="BG15" s="196">
        <f t="shared" ref="BG15:BG16" si="10">IF(ISNUMBER((AY15+AZ15)/BA15),(AY15+AZ15)/BA15," - ")</f>
        <v>2.2177795031055902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1</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143</v>
      </c>
      <c r="J17" s="183">
        <v>330</v>
      </c>
      <c r="K17" s="183">
        <v>312</v>
      </c>
      <c r="L17" s="183">
        <v>161</v>
      </c>
      <c r="M17" s="183">
        <v>8</v>
      </c>
      <c r="N17" s="183">
        <v>198</v>
      </c>
      <c r="O17" s="183">
        <v>0</v>
      </c>
      <c r="P17" s="183">
        <v>0</v>
      </c>
      <c r="Q17" s="183">
        <v>0</v>
      </c>
      <c r="R17" s="183">
        <v>6</v>
      </c>
      <c r="S17" s="183">
        <v>88</v>
      </c>
      <c r="T17" s="183">
        <v>320</v>
      </c>
      <c r="U17" s="183">
        <v>273</v>
      </c>
      <c r="V17" s="183">
        <v>135</v>
      </c>
      <c r="W17" s="183">
        <v>6</v>
      </c>
      <c r="X17" s="189">
        <v>157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88</v>
      </c>
      <c r="AZ17" s="129">
        <f t="shared" si="14"/>
        <v>320</v>
      </c>
      <c r="BA17" s="129">
        <f t="shared" si="14"/>
        <v>273</v>
      </c>
      <c r="BB17" s="129">
        <f t="shared" si="14"/>
        <v>135</v>
      </c>
      <c r="BC17" s="125">
        <f>IF(ISNUMBER(W17),W17," - ")</f>
        <v>6</v>
      </c>
      <c r="BD17" s="126">
        <f>IF(ISNUMBER(BA17/AZ17),BA17/AZ17," - ")</f>
        <v>0.85312500000000002</v>
      </c>
      <c r="BE17" s="127">
        <f>IF(ISNUMBER(BB17/BA17),BB17/BA17, " - ")</f>
        <v>0.49450549450549453</v>
      </c>
      <c r="BF17" s="127">
        <f>IF(ISNUMBER(BC17/BA17),BC17/BA17, " - ")</f>
        <v>2.197802197802198E-2</v>
      </c>
      <c r="BG17" s="196">
        <f>IF(ISNUMBER((AY17+AZ17)/BA17),(AY17+AZ17)/BA17," - ")</f>
        <v>1.4945054945054945</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3365</v>
      </c>
      <c r="J18" s="184">
        <f t="shared" si="15"/>
        <v>3714</v>
      </c>
      <c r="K18" s="184">
        <f t="shared" si="15"/>
        <v>3504</v>
      </c>
      <c r="L18" s="184">
        <f t="shared" si="15"/>
        <v>3594</v>
      </c>
      <c r="M18" s="184">
        <f t="shared" si="15"/>
        <v>573</v>
      </c>
      <c r="N18" s="184">
        <f t="shared" si="15"/>
        <v>2044</v>
      </c>
      <c r="O18" s="184">
        <f t="shared" si="15"/>
        <v>76</v>
      </c>
      <c r="P18" s="184">
        <f t="shared" si="15"/>
        <v>122</v>
      </c>
      <c r="Q18" s="184">
        <f t="shared" si="15"/>
        <v>107</v>
      </c>
      <c r="R18" s="184">
        <f t="shared" si="15"/>
        <v>353</v>
      </c>
      <c r="S18" s="184">
        <f t="shared" si="15"/>
        <v>2751</v>
      </c>
      <c r="T18" s="184">
        <f t="shared" si="15"/>
        <v>3372</v>
      </c>
      <c r="U18" s="184">
        <f t="shared" si="15"/>
        <v>2849</v>
      </c>
      <c r="V18" s="184">
        <f t="shared" si="15"/>
        <v>3295</v>
      </c>
      <c r="W18" s="184">
        <f t="shared" si="15"/>
        <v>366</v>
      </c>
      <c r="X18" s="184">
        <f t="shared" si="15"/>
        <v>1587</v>
      </c>
      <c r="Y18" s="184">
        <f t="shared" si="15"/>
        <v>0</v>
      </c>
      <c r="Z18" s="184">
        <f t="shared" si="15"/>
        <v>0</v>
      </c>
      <c r="AA18" s="184">
        <f t="shared" si="15"/>
        <v>0</v>
      </c>
      <c r="AB18" s="184">
        <f t="shared" si="15"/>
        <v>0</v>
      </c>
      <c r="AC18" s="184">
        <f t="shared" si="15"/>
        <v>4</v>
      </c>
      <c r="AD18" s="184">
        <f t="shared" si="15"/>
        <v>29</v>
      </c>
      <c r="AE18" s="184">
        <f t="shared" si="15"/>
        <v>24</v>
      </c>
      <c r="AF18" s="184">
        <f t="shared" si="15"/>
        <v>9</v>
      </c>
      <c r="AG18" s="184">
        <f t="shared" si="15"/>
        <v>0</v>
      </c>
      <c r="AH18" s="184">
        <f t="shared" si="15"/>
        <v>0</v>
      </c>
      <c r="AI18" s="184">
        <f t="shared" si="15"/>
        <v>0</v>
      </c>
      <c r="AJ18" s="184">
        <f t="shared" si="15"/>
        <v>0</v>
      </c>
      <c r="AK18" s="184">
        <f t="shared" si="15"/>
        <v>4</v>
      </c>
      <c r="AL18" s="184">
        <f t="shared" si="15"/>
        <v>64</v>
      </c>
      <c r="AM18" s="184">
        <f t="shared" si="15"/>
        <v>50</v>
      </c>
      <c r="AN18" s="184">
        <f t="shared" si="15"/>
        <v>18</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2751</v>
      </c>
      <c r="AZ18" s="184">
        <f>SUBTOTAL(9,AZ14:AZ17)</f>
        <v>3372</v>
      </c>
      <c r="BA18" s="184">
        <f>SUBTOTAL(9,BA14:BA17)</f>
        <v>2849</v>
      </c>
      <c r="BB18" s="184">
        <f>SUBTOTAL(9,BB14:BB17)</f>
        <v>3295</v>
      </c>
      <c r="BC18" s="184">
        <f>SUBTOTAL(9,BC14:BC17)</f>
        <v>366</v>
      </c>
      <c r="BD18" s="205">
        <f>IF(ISNUMBER(BA18/AZ18),BA18/AZ18," - ")</f>
        <v>0.84489916963226575</v>
      </c>
      <c r="BE18" s="206">
        <f>IF(ISNUMBER(BB18/BA18),BB18/BA18, " - ")</f>
        <v>1.1565461565461566</v>
      </c>
      <c r="BF18" s="206">
        <f>IF(ISNUMBER(BC18/BA18),BC18/BA18, " - ")</f>
        <v>0.12846612846612845</v>
      </c>
      <c r="BG18" s="207">
        <f>IF(ISNUMBER((AY18+AZ18)/BA18),(AY18+AZ18)/BA18," - ")</f>
        <v>2.1491751491751492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11031</v>
      </c>
      <c r="J19" s="134">
        <f t="shared" si="18"/>
        <v>6899</v>
      </c>
      <c r="K19" s="134">
        <f t="shared" si="18"/>
        <v>7328</v>
      </c>
      <c r="L19" s="134">
        <f t="shared" si="18"/>
        <v>11806</v>
      </c>
      <c r="M19" s="134">
        <f t="shared" si="18"/>
        <v>1534</v>
      </c>
      <c r="N19" s="134">
        <f t="shared" si="18"/>
        <v>3702</v>
      </c>
      <c r="O19" s="134">
        <f t="shared" si="18"/>
        <v>1515</v>
      </c>
      <c r="P19" s="134">
        <f t="shared" si="18"/>
        <v>695</v>
      </c>
      <c r="Q19" s="134">
        <f t="shared" si="18"/>
        <v>1663</v>
      </c>
      <c r="R19" s="134">
        <f t="shared" si="18"/>
        <v>9245</v>
      </c>
      <c r="S19" s="134">
        <f t="shared" si="18"/>
        <v>8651</v>
      </c>
      <c r="T19" s="134">
        <f t="shared" si="18"/>
        <v>6981</v>
      </c>
      <c r="U19" s="134">
        <f t="shared" si="18"/>
        <v>5957</v>
      </c>
      <c r="V19" s="134">
        <f t="shared" si="18"/>
        <v>9689</v>
      </c>
      <c r="W19" s="134">
        <f t="shared" si="18"/>
        <v>1081</v>
      </c>
      <c r="X19" s="134">
        <f t="shared" si="18"/>
        <v>3560</v>
      </c>
      <c r="Y19" s="134">
        <f t="shared" si="18"/>
        <v>308</v>
      </c>
      <c r="Z19" s="134">
        <f t="shared" si="18"/>
        <v>290</v>
      </c>
      <c r="AA19" s="134">
        <f t="shared" si="18"/>
        <v>284</v>
      </c>
      <c r="AB19" s="134">
        <f t="shared" si="18"/>
        <v>321</v>
      </c>
      <c r="AC19" s="134">
        <f t="shared" si="18"/>
        <v>4</v>
      </c>
      <c r="AD19" s="134">
        <f t="shared" si="18"/>
        <v>29</v>
      </c>
      <c r="AE19" s="134">
        <f t="shared" si="18"/>
        <v>24</v>
      </c>
      <c r="AF19" s="134">
        <f t="shared" si="18"/>
        <v>9</v>
      </c>
      <c r="AG19" s="134">
        <f t="shared" si="18"/>
        <v>191</v>
      </c>
      <c r="AH19" s="134">
        <f t="shared" si="18"/>
        <v>317</v>
      </c>
      <c r="AI19" s="134">
        <f t="shared" si="18"/>
        <v>346</v>
      </c>
      <c r="AJ19" s="134">
        <f t="shared" si="18"/>
        <v>162</v>
      </c>
      <c r="AK19" s="134">
        <f t="shared" si="18"/>
        <v>4</v>
      </c>
      <c r="AL19" s="134">
        <f t="shared" si="18"/>
        <v>64</v>
      </c>
      <c r="AM19" s="134">
        <f t="shared" si="18"/>
        <v>50</v>
      </c>
      <c r="AN19" s="210">
        <f t="shared" si="18"/>
        <v>18</v>
      </c>
      <c r="AO19" s="211">
        <v>13</v>
      </c>
      <c r="AP19" s="211">
        <v>13</v>
      </c>
      <c r="AQ19" s="211">
        <v>13</v>
      </c>
      <c r="AR19" s="211">
        <v>13</v>
      </c>
      <c r="AS19" s="153">
        <f t="shared" si="18"/>
        <v>0</v>
      </c>
      <c r="AT19" s="153">
        <f t="shared" si="18"/>
        <v>0</v>
      </c>
      <c r="AU19" s="211"/>
      <c r="AV19" s="212"/>
      <c r="AW19" s="211"/>
      <c r="AX19" s="212"/>
      <c r="AY19" s="133">
        <f>SUBTOTAL(9,AY9:AY18)</f>
        <v>8842</v>
      </c>
      <c r="AZ19" s="134">
        <f>SUBTOTAL(9,AZ9:AZ18)</f>
        <v>7298</v>
      </c>
      <c r="BA19" s="134">
        <f>SUBTOTAL(9,BA9:BA18)</f>
        <v>6303</v>
      </c>
      <c r="BB19" s="134">
        <f>SUBTOTAL(9,BB9:BB18)</f>
        <v>9851</v>
      </c>
      <c r="BC19" s="135">
        <f>SUBTOTAL(9,BC9:BC18)</f>
        <v>2336</v>
      </c>
      <c r="BD19" s="213">
        <f>IF(ISNUMBER(BA19/AZ19),BA19/AZ19," - ")</f>
        <v>0.86366127706220885</v>
      </c>
      <c r="BE19" s="210">
        <f>IF(ISNUMBER(BB19/BA19),BB19/BA19, " - ")</f>
        <v>1.5629065524353483</v>
      </c>
      <c r="BF19" s="210">
        <f>IF(ISNUMBER(BC19/BA19),BC19/BA19, " - ")</f>
        <v>0.37061716642868475</v>
      </c>
      <c r="BG19" s="135">
        <f>IF(ISNUMBER((AY19+AZ19)/BA19),(AY19+AZ19)/BA19," - ")</f>
        <v>2.5606853879105187</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yLhOsuBh8kd2Dc+xA+ze5AIfa3xcZnWwymflE/8Ebc7nWC1u1gvZr7aznewM8R1f6ezkk5jvcgw2oa/TytWhA==" saltValue="6HZJEsQvd+N56d78T83z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VMMYDcwvI6znTpnYZdCx6rgiEkYg9RMvZuojcuo+yj+Q+Xw7IZAjzPg4Rb0fFVv8c/vLav1qT45nqlEm70nQ==" saltValue="ZyouTMQoaSYhSWp9L39F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75</v>
      </c>
      <c r="O9" s="334"/>
      <c r="P9" s="334"/>
      <c r="Q9" s="226">
        <f>IF(ISNUMBER(Datos!P9),Datos!P9,0)</f>
        <v>528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1494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76</v>
      </c>
      <c r="AI9" s="334" t="str">
        <f>IF(ISNUMBER(Datos!CD9),Datos!CD9,"-")</f>
        <v>-</v>
      </c>
      <c r="AJ9" s="334" t="str">
        <f>IF(ISNUMBER(Datos!EN9),Datos!EN9," - ")</f>
        <v xml:space="preserve"> - </v>
      </c>
      <c r="AK9" s="334"/>
      <c r="AL9" s="479"/>
      <c r="AM9" s="335">
        <f>IF(ISNUMBER(Datos!R9),Datos!R9," - ")</f>
        <v>8239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853</v>
      </c>
      <c r="BD9" s="229">
        <f>IF(ISNUMBER(Datos!N9),Datos!N9," - ")</f>
        <v>1273</v>
      </c>
      <c r="BE9" s="229" t="str">
        <f>IF(ISNUMBER(Datos!BW9),Datos!BW9," - ")</f>
        <v xml:space="preserve"> - </v>
      </c>
      <c r="BF9" s="228" t="str">
        <f>IF(ISNUMBER(Datos!BX9),Datos!BX9," - ")</f>
        <v xml:space="preserve"> - </v>
      </c>
      <c r="BG9" s="243">
        <f>IF(ISNUMBER(IF(J_V="SI",Datos!K9/Datos!J9,(Datos!K9+Datos!AA9)/(Datos!J9+Datos!Z9))),IF(J_V="SI",Datos!K9/Datos!J9,(Datos!K9+Datos!AA9)/(Datos!J9+Datos!Z9))," - ")</f>
        <v>1.2371883656509695</v>
      </c>
      <c r="BH9" s="260">
        <f>IF(ISNUMBER(((IF(J_V="SI",Datos!L9/Datos!K9,(Datos!L9+Datos!AB9)/(Datos!K9+Datos!AA9)))*11)/factor_trimestre),((IF(J_V="SI",Datos!L9/Datos!K9,(Datos!L9+Datos!AB9)/(Datos!K9+Datos!AA9)))*11)/factor_trimestre," - ")</f>
        <v>4.2283795130142741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-0.10494296577946768</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66</v>
      </c>
      <c r="AG10" s="334"/>
      <c r="AH10" s="334"/>
      <c r="AI10" s="334"/>
      <c r="AJ10" s="334"/>
      <c r="AK10" s="334"/>
      <c r="AL10" s="479"/>
      <c r="AM10" s="335">
        <f>IF(ISNUMBER(Datos!R10),Datos!R10," - ")</f>
        <v>113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9</v>
      </c>
      <c r="BE10" s="229" t="str">
        <f>IF(ISNUMBER(Datos!BW10),Datos!BW10," - ")</f>
        <v xml:space="preserve"> - </v>
      </c>
      <c r="BF10" s="228" t="str">
        <f>IF(ISNUMBER(Datos!BX10),Datos!BX10," - ")</f>
        <v xml:space="preserve"> - </v>
      </c>
      <c r="BG10" s="243">
        <f>IF(ISNUMBER(Datos!K10/Datos!J10),Datos!K10/Datos!J10," - ")</f>
        <v>0.47222222222222221</v>
      </c>
      <c r="BH10" s="260">
        <f>IF(ISNUMBER(((Datos!L10/Datos!K10)*11)/factor_trimestre),((Datos!L10/Datos!K10)*11)/factor_trimestre," - ")</f>
        <v>7.7647058823529411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4.6296296296296294E-2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215</v>
      </c>
      <c r="O11" s="334"/>
      <c r="P11" s="334"/>
      <c r="Q11" s="226">
        <f>IF(ISNUMBER(Datos!P11),Datos!P11,0)</f>
        <v>40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62</v>
      </c>
      <c r="AD11" s="334"/>
      <c r="AE11" s="484"/>
      <c r="AF11" s="332" t="str">
        <f>IF(ISNUMBER(IF(J_V="SI",Datos!L11,Datos!L11+Datos!AB11)-IF(Monitorios="SI",Datos!CD11,0)),
                          IF(J_V="SI",Datos!L11,Datos!L11+Datos!AB11)-IF(Monitorios="SI",Datos!CD11,0),
                          " - ")</f>
        <v xml:space="preserve"> - </v>
      </c>
      <c r="AG11" s="334"/>
      <c r="AH11" s="334">
        <f>IF(ISNUMBER(Datos!AB11),Datos!AB11,"-")</f>
        <v>245</v>
      </c>
      <c r="AI11" s="334"/>
      <c r="AJ11" s="334"/>
      <c r="AK11" s="334"/>
      <c r="AL11" s="479"/>
      <c r="AM11" s="335">
        <f>IF(ISNUMBER(Datos!R11),Datos!R11," - ")</f>
        <v>540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105</v>
      </c>
      <c r="BD11" s="229">
        <f>IF(ISNUMBER(Datos!N11),Datos!N11," - ")</f>
        <v>376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0.94010889292196009</v>
      </c>
      <c r="BH11" s="260">
        <f>IF(ISNUMBER(((IF(J_V="SI",Datos!L11/Datos!K11,(Datos!L11+Datos!AB11)/(Datos!K11+Datos!AA11)))*11)/factor_trimestre),((IF(J_V="SI",Datos!L11/Datos!K11,(Datos!L11+Datos!AB11)/(Datos!K11+Datos!AA11)))*11)/factor_trimestre," - ")</f>
        <v>3.5250965250965249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-3.9145907473309607E-2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290</v>
      </c>
      <c r="O13" s="900">
        <f t="shared" si="0"/>
        <v>0</v>
      </c>
      <c r="P13" s="900">
        <f t="shared" si="0"/>
        <v>0</v>
      </c>
      <c r="Q13" s="899">
        <f t="shared" si="0"/>
        <v>573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1556</v>
      </c>
      <c r="AD13" s="899">
        <f t="shared" si="1"/>
        <v>0</v>
      </c>
      <c r="AE13" s="899">
        <f t="shared" si="1"/>
        <v>0</v>
      </c>
      <c r="AF13" s="899">
        <f t="shared" si="1"/>
        <v>66</v>
      </c>
      <c r="AG13" s="899">
        <f t="shared" si="1"/>
        <v>0</v>
      </c>
      <c r="AH13" s="899">
        <f t="shared" si="1"/>
        <v>321</v>
      </c>
      <c r="AI13" s="899">
        <f t="shared" si="1"/>
        <v>0</v>
      </c>
      <c r="AJ13" s="899">
        <f t="shared" si="1"/>
        <v>0</v>
      </c>
      <c r="AK13" s="899">
        <f t="shared" si="1"/>
        <v>0</v>
      </c>
      <c r="AL13" s="899">
        <f t="shared" si="1"/>
        <v>0</v>
      </c>
      <c r="AM13" s="899">
        <f t="shared" si="1"/>
        <v>8892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961</v>
      </c>
      <c r="BD13" s="899">
        <f t="shared" si="1"/>
        <v>1658</v>
      </c>
      <c r="BE13" s="899">
        <f t="shared" si="1"/>
        <v>0</v>
      </c>
      <c r="BF13" s="899">
        <f t="shared" si="1"/>
        <v>0</v>
      </c>
      <c r="BG13" s="899">
        <f>IF(ISNUMBER(Datos!K13/Datos!J13),Datos!K13/Datos!J13," - ")</f>
        <v>1.2006279434850864</v>
      </c>
      <c r="BH13" s="903">
        <f>IF(ISNUMBER(((Datos!L13/Datos!K13)*11)/factor_trimestre),((Datos!L13/Datos!K13)*11)/factor_trimestre," - ")</f>
        <v>4.2949790794979084</v>
      </c>
      <c r="BI13" s="899">
        <f>IF(ISNUMBER('Resol  Asuntos'!D13/NºAsuntos!G13),'Resol  Asuntos'!D13/NºAsuntos!G13," - ")</f>
        <v>0.23393378773125609</v>
      </c>
      <c r="BJ13" s="899" t="str">
        <f>IF(ISNUMBER(Datos!CI13/Datos!CJ13),Datos!CI13/Datos!CJ13," - ")</f>
        <v xml:space="preserve"> - </v>
      </c>
      <c r="BK13" s="899">
        <f>SUBTOTAL(9,BK8:BK12)</f>
        <v>0</v>
      </c>
      <c r="BL13" s="899">
        <f>IF(ISNUMBER((I13-AB13+L13)/(F13)),(I13-AB13+L13)/(F13)," - ")</f>
        <v>-0.36170212765957449</v>
      </c>
      <c r="BM13" s="904">
        <f>SUBTOTAL(9,BM9:BM12)</f>
        <v>-9.7792576956480998E-2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3239</v>
      </c>
      <c r="G15" s="598">
        <f>IF(ISNUMBER(IF(D_I="SI",Datos!I15,Datos!I15+Datos!AC15)),IF(D_I="SI",Datos!I15,Datos!I15+Datos!AC15)," - ")</f>
        <v>3220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3192</v>
      </c>
      <c r="AC15" s="226">
        <f>IF(ISNUMBER(Datos!Q15),Datos!Q15," - ")</f>
        <v>107</v>
      </c>
      <c r="AD15" s="334"/>
      <c r="AE15" s="484"/>
      <c r="AF15" s="596">
        <f>IF(ISNUMBER(IF(D_I="SI",Datos!L15,Datos!L15+Datos!AF15)),IF(D_I="SI",Datos!L15,Datos!L15+Datos!AF15)," - ")</f>
        <v>3431</v>
      </c>
      <c r="AG15" s="334"/>
      <c r="AH15" s="334"/>
      <c r="AI15" s="334"/>
      <c r="AJ15" s="334"/>
      <c r="AK15" s="334"/>
      <c r="AL15" s="479"/>
      <c r="AM15" s="335">
        <f>IF(ISNUMBER(Datos!R15),Datos!R15," - ")</f>
        <v>346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565</v>
      </c>
      <c r="BD15" s="229">
        <f>IF(ISNUMBER(Datos!N15),Datos!N15," - ")</f>
        <v>1846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0.94326241134751776</v>
      </c>
      <c r="BH15" s="260">
        <f>IF(ISNUMBER(((IF(D_I="SI",Datos!L15/Datos!K15,(Datos!L15+Datos!AF15)/(Datos!K15+Datos!AE15)))*11)/factor_trimestre),((IF(D_I="SI",Datos!L15/Datos!K15,(Datos!L15+Datos!AF15)/(Datos!K15+Datos!AE15)))*11)/factor_trimestre," - ")</f>
        <v>2.149749373433584</v>
      </c>
      <c r="BI15" s="243">
        <f>IF(ISNUMBER('Resol  Asuntos'!D15/NºAsuntos!G15),'Resol  Asuntos'!D15/NºAsuntos!G15," - ")</f>
        <v>0.17700501253132833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312</v>
      </c>
      <c r="AC17" s="226">
        <f>IF(ISNUMBER(Datos!Q17),Datos!Q17," - ")</f>
        <v>0</v>
      </c>
      <c r="AD17" s="334"/>
      <c r="AE17" s="484"/>
      <c r="AF17" s="332">
        <f>IF(ISNUMBER(Datos!L17),Datos!L17,"-")</f>
        <v>161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198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0.94545454545454544</v>
      </c>
      <c r="BH17" s="260">
        <f>IF(ISNUMBER(((IF(D_I="SI",Datos!L17/Datos!K17,(Datos!L17+Datos!AF17)/(Datos!K17+Datos!AE17)))*11)/factor_trimestre),((IF(D_I="SI",Datos!L17/Datos!K17,(Datos!L17+Datos!AF17)/(Datos!K17+Datos!AE17)))*11)/factor_trimestre," - ")</f>
        <v>1.0320512820512822</v>
      </c>
      <c r="BI17" s="243">
        <f>IF(ISNUMBER('Resol  Asuntos'!D17/NºAsuntos!G17),'Resol  Asuntos'!D17/NºAsuntos!G17," - ")</f>
        <v>2.564102564102564E-2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3241</v>
      </c>
      <c r="G18" s="898">
        <f>SUBTOTAL(9,G15:G17)</f>
        <v>3365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3504</v>
      </c>
      <c r="AC18" s="899">
        <f t="shared" si="4"/>
        <v>107</v>
      </c>
      <c r="AD18" s="899">
        <f t="shared" si="4"/>
        <v>0</v>
      </c>
      <c r="AE18" s="899">
        <f t="shared" si="4"/>
        <v>0</v>
      </c>
      <c r="AF18" s="899">
        <f t="shared" si="4"/>
        <v>3594</v>
      </c>
      <c r="AG18" s="899">
        <f t="shared" si="4"/>
        <v>0</v>
      </c>
      <c r="AH18" s="899">
        <f t="shared" si="4"/>
        <v>0</v>
      </c>
      <c r="AI18" s="899">
        <f t="shared" si="4"/>
        <v>0</v>
      </c>
      <c r="AJ18" s="899">
        <f t="shared" si="4"/>
        <v>0</v>
      </c>
      <c r="AK18" s="899">
        <f t="shared" si="4"/>
        <v>0</v>
      </c>
      <c r="AL18" s="899">
        <f t="shared" si="4"/>
        <v>0</v>
      </c>
      <c r="AM18" s="899">
        <f t="shared" si="4"/>
        <v>353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573</v>
      </c>
      <c r="BD18" s="899">
        <f t="shared" si="4"/>
        <v>2044</v>
      </c>
      <c r="BE18" s="899">
        <f t="shared" si="4"/>
        <v>0</v>
      </c>
      <c r="BF18" s="899">
        <f t="shared" si="4"/>
        <v>0</v>
      </c>
      <c r="BG18" s="899">
        <f>IF(ISNUMBER(Datos!K18/Datos!J18),Datos!K18/Datos!J18," - ")</f>
        <v>0.94345718901453957</v>
      </c>
      <c r="BH18" s="903">
        <f>IF(ISNUMBER(((Datos!L18/Datos!K18)*11)/factor_trimestre),((Datos!L18/Datos!K18)*11)/factor_trimestre," - ")</f>
        <v>2.0513698630136985</v>
      </c>
      <c r="BI18" s="899">
        <f>SUBTOTAL(9,BI15:BI17)</f>
        <v>0.20264603817235396</v>
      </c>
      <c r="BJ18" s="899">
        <f>SUBTOTAL(9,BJ15:BJ17)</f>
        <v>0</v>
      </c>
      <c r="BK18" s="899">
        <f>SUBTOTAL(9,BK15:BK17)</f>
        <v>0</v>
      </c>
      <c r="BL18" s="899">
        <f>IF(ISNUMBER((I18-AB18+L18)/(F18)),(I18-AB18+L18)/(F18)," - ")</f>
        <v>-1.0811477938907745</v>
      </c>
      <c r="BM18" s="905">
        <f>IF(ISNUMBER((Datos!P18-Datos!Q18)/(Datos!R18-Datos!P18+Datos!Q18)),(Datos!P18-Datos!Q18)/(Datos!R18-Datos!P18+Datos!Q18)," - ")</f>
        <v>4.4378698224852069E-2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3288</v>
      </c>
      <c r="G19" s="820">
        <f t="shared" si="6"/>
        <v>3412</v>
      </c>
      <c r="H19" s="822">
        <f t="shared" si="6"/>
        <v>0</v>
      </c>
      <c r="I19" s="820">
        <f t="shared" si="6"/>
        <v>0</v>
      </c>
      <c r="J19" s="822">
        <f t="shared" si="6"/>
        <v>0</v>
      </c>
      <c r="K19" s="822">
        <f t="shared" si="6"/>
        <v>0</v>
      </c>
      <c r="L19" s="881">
        <f t="shared" si="6"/>
        <v>0</v>
      </c>
      <c r="M19" s="881">
        <f t="shared" si="6"/>
        <v>0</v>
      </c>
      <c r="N19" s="881">
        <f t="shared" si="6"/>
        <v>290</v>
      </c>
      <c r="O19" s="881">
        <f t="shared" si="6"/>
        <v>0</v>
      </c>
      <c r="P19" s="881">
        <f t="shared" si="6"/>
        <v>0</v>
      </c>
      <c r="Q19" s="822">
        <f t="shared" si="6"/>
        <v>695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3521</v>
      </c>
      <c r="AC19" s="821">
        <f t="shared" si="7"/>
        <v>1663</v>
      </c>
      <c r="AD19" s="821">
        <f t="shared" si="7"/>
        <v>0</v>
      </c>
      <c r="AE19" s="821">
        <f t="shared" si="7"/>
        <v>0</v>
      </c>
      <c r="AF19" s="828">
        <f t="shared" si="7"/>
        <v>3660</v>
      </c>
      <c r="AG19" s="828">
        <f t="shared" si="7"/>
        <v>0</v>
      </c>
      <c r="AH19" s="828">
        <f t="shared" si="7"/>
        <v>321</v>
      </c>
      <c r="AI19" s="828">
        <f t="shared" si="7"/>
        <v>0</v>
      </c>
      <c r="AJ19" s="821">
        <f t="shared" si="7"/>
        <v>0</v>
      </c>
      <c r="AK19" s="828">
        <f t="shared" si="7"/>
        <v>0</v>
      </c>
      <c r="AL19" s="828">
        <f t="shared" si="7"/>
        <v>0</v>
      </c>
      <c r="AM19" s="828">
        <f t="shared" si="7"/>
        <v>9245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1534</v>
      </c>
      <c r="BD19" s="820">
        <f t="shared" si="7"/>
        <v>3702</v>
      </c>
      <c r="BE19" s="820">
        <f t="shared" si="7"/>
        <v>0</v>
      </c>
      <c r="BF19" s="830">
        <f t="shared" si="7"/>
        <v>0</v>
      </c>
      <c r="BG19" s="915">
        <f>IF(ISNUMBER(Datos!K19/Datos!J19),Datos!K19/Datos!J19," - ")</f>
        <v>1.0621829250616031</v>
      </c>
      <c r="BH19" s="915">
        <f>IF(ISNUMBER(((Datos!L19/Datos!K19)*11)/factor_trimestre),((Datos!L19/Datos!K19)*11)/factor_trimestre," - ")</f>
        <v>3.2221615720524017</v>
      </c>
      <c r="BI19" s="813">
        <f>IF(ISNUMBER(Datos!J19/Datos!I19),Datos!J19/Datos!I19," - ")</f>
        <v>0.62541927295802735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-1.0708637469586375</v>
      </c>
      <c r="BM19" s="889">
        <f>IF(ISNUMBER((Datos!P19-Datos!Q19+R19)/(Datos!R19-Datos!P19+Datos!Q19-R19)),(Datos!P19-Datos!Q19+R19)/(Datos!R19-Datos!P19+Datos!Q19-R19)," - ")</f>
        <v>-9.4781161265054342E-2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1137.3333333333333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3.1001792062897122</v>
      </c>
      <c r="F21" s="551">
        <f>IF(ISNUMBER(STDEV(F8:F18)),STDEV(F8:F18),"-")</f>
        <v>1757.1901433823261</v>
      </c>
      <c r="G21" s="552">
        <f>IF(ISNUMBER(STDEV(G8:G18)),STDEV(G8:G18),"-")</f>
        <v>1670.6485766511958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1691.144070346068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402.35094844462054</v>
      </c>
      <c r="BD21" s="551"/>
      <c r="BE21" s="551">
        <f>IF(ISNUMBER(STDEV(BE8:BE18)),STDEV(BE8:BE18),"-")</f>
        <v>0</v>
      </c>
      <c r="BF21" s="556">
        <f>IF(ISNUMBER(STDEV(BF8:BF18)),STDEV(BF8:BF18),"-")</f>
        <v>0</v>
      </c>
      <c r="BG21" s="775">
        <f>IF(ISNUMBER(STDEV(BG8:BG18)),STDEV(BG8:BG18),"-")</f>
        <v>0.24953977185864512</v>
      </c>
      <c r="BH21" s="776">
        <f>IF(ISNUMBER(STDEV(BH8:BH18)),STDEV(BH8:BH18),"-")</f>
        <v>2.2106074474579089</v>
      </c>
      <c r="BI21" s="249">
        <f>IF(ISNUMBER(STDEV(BI8:BI18)),STDEV(BI8:BI18),"-")</f>
        <v>9.2423381169606689E-2</v>
      </c>
      <c r="BJ21" s="230" t="str">
        <f>IF(ISNUMBER(BL21/BM21),BL21/BM21," - ")</f>
        <v xml:space="preserve"> - </v>
      </c>
      <c r="BK21" s="575"/>
      <c r="BL21" s="559">
        <f>IF(ISNUMBER(STDEV(BL8:BL18)),STDEV(BL8:BL18),"-")</f>
        <v>0.50872490928735514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KHvYp6JIPXe3SHW2389FudFHfbDnjJNZSsGoHaXBuG2Pv3C9wqRofEUoSOs5HnjrBghWqRYNWtLtauXUWpaHA==" saltValue="knMR5n9glsYLokMKxy1P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GIRONA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528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1494</v>
      </c>
      <c r="AA9" s="332" t="str">
        <f>IF(ISNUMBER(IF(J_V="SI",Datos!L9,Datos!L9+Datos!AB9)-IF(Monitorios="SI",Datos!CD9,0)),
                          IF(J_V="SI",Datos!L9,Datos!L9+Datos!AB9)-IF(Monitorios="SI",Datos!CD9,0),
                          " - ")</f>
        <v xml:space="preserve"> - </v>
      </c>
      <c r="AB9" s="334"/>
      <c r="AC9" s="334"/>
      <c r="AD9" s="484"/>
      <c r="AE9" s="484">
        <f>IF(ISNUMBER(Datos!R9),Datos!R9," - ")</f>
        <v>8239</v>
      </c>
      <c r="AF9" s="229" t="str">
        <f>IF(ISNUMBER(Datos!BV9),Datos!BV9," - ")</f>
        <v xml:space="preserve"> - </v>
      </c>
      <c r="AG9" s="225" t="str">
        <f>IF(ISNUMBER(Datos!DV9),Datos!DV9," - ")</f>
        <v xml:space="preserve"> - </v>
      </c>
      <c r="AH9" s="298"/>
      <c r="AI9" s="227"/>
      <c r="AJ9" s="225">
        <f>IF(ISNUMBER(Datos!M9),Datos!M9," - ")</f>
        <v>853</v>
      </c>
      <c r="AK9" s="229">
        <f>IF(ISNUMBER(Datos!N9),Datos!N9," - ")</f>
        <v>1273</v>
      </c>
      <c r="AL9" s="229" t="str">
        <f>IF(ISNUMBER(Datos!BW9),Datos!BW9," - ")</f>
        <v xml:space="preserve"> - </v>
      </c>
      <c r="AM9" s="228" t="str">
        <f>IF(ISNUMBER(Datos!BX9),Datos!BX9," - ")</f>
        <v xml:space="preserve"> - </v>
      </c>
      <c r="AN9" s="243"/>
      <c r="AO9" s="260">
        <f>IF(ISNUMBER(((NºAsuntos!I9/NºAsuntos!G9)*11)/factor_trimestre),((NºAsuntos!I9/NºAsuntos!G9)*11)/factor_trimestre," - ")</f>
        <v>4.2283795130142741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-0.10494296577946768</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66</v>
      </c>
      <c r="AB10" s="334"/>
      <c r="AC10" s="334"/>
      <c r="AD10" s="484"/>
      <c r="AE10" s="484">
        <f>IF(ISNUMBER(Datos!R10),Datos!R10," - ")</f>
        <v>113</v>
      </c>
      <c r="AF10" s="229" t="str">
        <f>IF(ISNUMBER(Datos!BV10),Datos!BV10," - ")</f>
        <v xml:space="preserve"> - </v>
      </c>
      <c r="AG10" s="225" t="str">
        <f>IF(ISNUMBER(Datos!DV10),Datos!DV10," - ")</f>
        <v xml:space="preserve"> - </v>
      </c>
      <c r="AH10" s="298"/>
      <c r="AI10" s="227"/>
      <c r="AJ10" s="225">
        <f>IF(ISNUMBER(Datos!M10),Datos!M10," - ")</f>
        <v>3</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7.7647058823529411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4.6296296296296294E-2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62</v>
      </c>
      <c r="AA11" s="332" t="str">
        <f>IF(ISNUMBER(IF(J_V="SI",Datos!L11,Datos!L11+Datos!AB11)-IF(Monitorios="SI",Datos!CD11,0)),
                          IF(J_V="SI",Datos!L11,Datos!L11+Datos!AB11)-IF(Monitorios="SI",Datos!CD11,0),
                          " - ")</f>
        <v xml:space="preserve"> - </v>
      </c>
      <c r="AB11" s="334"/>
      <c r="AC11" s="334"/>
      <c r="AD11" s="484"/>
      <c r="AE11" s="484">
        <f>IF(ISNUMBER(Datos!R11),Datos!R11," - ")</f>
        <v>540</v>
      </c>
      <c r="AF11" s="229" t="str">
        <f>IF(ISNUMBER(Datos!BV11),Datos!BV11," - ")</f>
        <v xml:space="preserve"> - </v>
      </c>
      <c r="AG11" s="225" t="str">
        <f>IF(ISNUMBER(Datos!DV11),Datos!DV11," - ")</f>
        <v xml:space="preserve"> - </v>
      </c>
      <c r="AH11" s="298"/>
      <c r="AI11" s="227"/>
      <c r="AJ11" s="225">
        <f>IF(ISNUMBER(Datos!M11),Datos!M11," - ")</f>
        <v>105</v>
      </c>
      <c r="AK11" s="229">
        <f>IF(ISNUMBER(Datos!N11),Datos!N11," - ")</f>
        <v>376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3.5250965250965249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-3.9145907473309607E-2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573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1556</v>
      </c>
      <c r="AA13" s="900">
        <f t="shared" si="2"/>
        <v>66</v>
      </c>
      <c r="AB13" s="900">
        <f t="shared" si="2"/>
        <v>0</v>
      </c>
      <c r="AC13" s="900">
        <f t="shared" si="2"/>
        <v>0</v>
      </c>
      <c r="AD13" s="900">
        <f t="shared" si="2"/>
        <v>0</v>
      </c>
      <c r="AE13" s="900">
        <f t="shared" si="2"/>
        <v>8892</v>
      </c>
      <c r="AF13" s="908">
        <f t="shared" si="2"/>
        <v>0</v>
      </c>
      <c r="AG13" s="908">
        <f t="shared" si="2"/>
        <v>0</v>
      </c>
      <c r="AH13" s="908">
        <f t="shared" si="2"/>
        <v>0</v>
      </c>
      <c r="AI13" s="908">
        <f t="shared" si="2"/>
        <v>0</v>
      </c>
      <c r="AJ13" s="908">
        <f t="shared" si="2"/>
        <v>961</v>
      </c>
      <c r="AK13" s="908">
        <f t="shared" si="2"/>
        <v>1658</v>
      </c>
      <c r="AL13" s="908">
        <f t="shared" si="2"/>
        <v>0</v>
      </c>
      <c r="AM13" s="908">
        <f t="shared" si="2"/>
        <v>0</v>
      </c>
      <c r="AN13" s="908">
        <f t="shared" si="2"/>
        <v>0</v>
      </c>
      <c r="AO13" s="904">
        <f>IF(ISNUMBER(((NºAsuntos!I13/NºAsuntos!G13)*11)/factor_trimestre),((NºAsuntos!I13/NºAsuntos!G13)*11)/factor_trimestre," - ")</f>
        <v>4.1543330087633885</v>
      </c>
      <c r="AP13" s="910" t="str">
        <f>IF(ISNUMBER(Datos!CI13/Datos!CJ13),Datos!CI13/Datos!CJ13," - ")</f>
        <v xml:space="preserve"> - </v>
      </c>
      <c r="AQ13" s="928">
        <f t="shared" ref="AQ13:AV13" si="3">SUBTOTAL(9,AQ9:AQ12)</f>
        <v>0</v>
      </c>
      <c r="AR13" s="928">
        <f t="shared" si="3"/>
        <v>-9.7792576956480998E-2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3239</v>
      </c>
      <c r="G15" s="225">
        <f>IF(ISNUMBER(IF(D_I="SI",Datos!I15,Datos!I15+Datos!AC15)),IF(D_I="SI",Datos!I15,Datos!I15+Datos!AC15)," - ")</f>
        <v>3220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3192</v>
      </c>
      <c r="Z15" s="619">
        <f>IF(ISNUMBER(Datos!Q15),Datos!Q15," - ")</f>
        <v>107</v>
      </c>
      <c r="AA15" s="332">
        <f>IF(ISNUMBER(IF(D_I="SI",Datos!L15,Datos!L15+Datos!AF15)),IF(D_I="SI",Datos!L15,Datos!L15+Datos!AF15)," - ")</f>
        <v>3431</v>
      </c>
      <c r="AB15" s="334"/>
      <c r="AC15" s="334"/>
      <c r="AD15" s="484"/>
      <c r="AE15" s="484">
        <f>IF(ISNUMBER(Datos!R15),Datos!R15," - ")</f>
        <v>346</v>
      </c>
      <c r="AF15" s="229" t="str">
        <f>IF(ISNUMBER(Datos!BV15),Datos!BV15," - ")</f>
        <v xml:space="preserve"> - </v>
      </c>
      <c r="AG15" s="225"/>
      <c r="AH15" s="298"/>
      <c r="AI15" s="227"/>
      <c r="AJ15" s="225">
        <f>IF(ISNUMBER(Datos!M15),Datos!M15," - ")</f>
        <v>565</v>
      </c>
      <c r="AK15" s="229">
        <f>IF(ISNUMBER(Datos!N15),Datos!N15," - ")</f>
        <v>1846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2.149749373433584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312</v>
      </c>
      <c r="Z17" s="619">
        <f>IF(ISNUMBER(Datos!Q17),Datos!Q17," - ")</f>
        <v>0</v>
      </c>
      <c r="AA17" s="332">
        <f>IF(ISNUMBER(Datos!L17),Datos!L17,"-")</f>
        <v>161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8</v>
      </c>
      <c r="AK17" s="229">
        <f>IF(ISNUMBER(Datos!N17),Datos!N17," - ")</f>
        <v>198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1.0320512820512822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3241</v>
      </c>
      <c r="G18" s="898">
        <f>SUBTOTAL(9,G15:G17)</f>
        <v>3365</v>
      </c>
      <c r="H18" s="932">
        <f>SUBTOTAL(9,H15:H17)</f>
        <v>0</v>
      </c>
      <c r="I18" s="911">
        <f>SUBTOTAL(9,I15:I17)</f>
        <v>0</v>
      </c>
      <c r="J18" s="867">
        <f>SUBTOTAL(9,J14:J17)</f>
        <v>0</v>
      </c>
      <c r="K18" s="932">
        <f t="shared" ref="K18:S18" si="4">SUBTOTAL(9,K15:K17)</f>
        <v>0</v>
      </c>
      <c r="L18" s="932">
        <f t="shared" si="4"/>
        <v>0</v>
      </c>
      <c r="M18" s="932">
        <f t="shared" si="4"/>
        <v>0</v>
      </c>
      <c r="N18" s="932">
        <f t="shared" si="4"/>
        <v>122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3504</v>
      </c>
      <c r="Z18" s="932">
        <f t="shared" si="5"/>
        <v>107</v>
      </c>
      <c r="AA18" s="932">
        <f t="shared" si="5"/>
        <v>3594</v>
      </c>
      <c r="AB18" s="932">
        <f t="shared" si="5"/>
        <v>0</v>
      </c>
      <c r="AC18" s="932">
        <f t="shared" si="5"/>
        <v>0</v>
      </c>
      <c r="AD18" s="932">
        <f t="shared" si="5"/>
        <v>0</v>
      </c>
      <c r="AE18" s="932">
        <f t="shared" si="5"/>
        <v>353</v>
      </c>
      <c r="AF18" s="932">
        <f t="shared" si="5"/>
        <v>0</v>
      </c>
      <c r="AG18" s="932">
        <f t="shared" si="5"/>
        <v>0</v>
      </c>
      <c r="AH18" s="932">
        <f t="shared" si="5"/>
        <v>0</v>
      </c>
      <c r="AI18" s="932">
        <f t="shared" si="5"/>
        <v>0</v>
      </c>
      <c r="AJ18" s="932">
        <f t="shared" si="5"/>
        <v>573</v>
      </c>
      <c r="AK18" s="932">
        <f t="shared" si="5"/>
        <v>2044</v>
      </c>
      <c r="AL18" s="932">
        <f t="shared" si="5"/>
        <v>0</v>
      </c>
      <c r="AM18" s="932">
        <f t="shared" si="5"/>
        <v>0</v>
      </c>
      <c r="AN18" s="932">
        <f t="shared" si="5"/>
        <v>0</v>
      </c>
      <c r="AO18" s="934">
        <f>IF(ISNUMBER(((NºAsuntos!I18/NºAsuntos!G18)*11)/factor_trimestre),((NºAsuntos!I18/NºAsuntos!G18)*11)/factor_trimestre," - ")</f>
        <v>2.0513698630136985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3288</v>
      </c>
      <c r="G19" s="820">
        <f t="shared" si="7"/>
        <v>3412</v>
      </c>
      <c r="H19" s="821">
        <f t="shared" si="7"/>
        <v>0</v>
      </c>
      <c r="I19" s="820">
        <f t="shared" si="7"/>
        <v>0</v>
      </c>
      <c r="J19" s="822">
        <f t="shared" si="7"/>
        <v>0</v>
      </c>
      <c r="K19" s="820">
        <f t="shared" si="7"/>
        <v>0</v>
      </c>
      <c r="L19" s="823">
        <f t="shared" si="7"/>
        <v>0</v>
      </c>
      <c r="M19" s="820">
        <f t="shared" si="7"/>
        <v>0</v>
      </c>
      <c r="N19" s="821">
        <f t="shared" si="7"/>
        <v>695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3521</v>
      </c>
      <c r="Z19" s="827">
        <f t="shared" si="8"/>
        <v>1663</v>
      </c>
      <c r="AA19" s="828">
        <f t="shared" si="8"/>
        <v>3660</v>
      </c>
      <c r="AB19" s="828">
        <f t="shared" si="8"/>
        <v>0</v>
      </c>
      <c r="AC19" s="828">
        <f t="shared" si="8"/>
        <v>0</v>
      </c>
      <c r="AD19" s="829">
        <f t="shared" si="8"/>
        <v>0</v>
      </c>
      <c r="AE19" s="829">
        <f t="shared" si="8"/>
        <v>9245</v>
      </c>
      <c r="AF19" s="830">
        <f t="shared" si="8"/>
        <v>0</v>
      </c>
      <c r="AG19" s="831">
        <f t="shared" si="8"/>
        <v>0</v>
      </c>
      <c r="AH19" s="832">
        <f t="shared" si="8"/>
        <v>0</v>
      </c>
      <c r="AI19" s="830">
        <f t="shared" si="8"/>
        <v>0</v>
      </c>
      <c r="AJ19" s="820">
        <f t="shared" si="8"/>
        <v>1534</v>
      </c>
      <c r="AK19" s="820">
        <f t="shared" si="8"/>
        <v>3702</v>
      </c>
      <c r="AL19" s="820">
        <f t="shared" si="8"/>
        <v>0</v>
      </c>
      <c r="AM19" s="833">
        <f t="shared" si="8"/>
        <v>0</v>
      </c>
      <c r="AN19" s="823">
        <f>IF(ISNUMBER(Datos!K19/Datos!J19),Datos!K19/Datos!J19," - ")</f>
        <v>1.0621829250616031</v>
      </c>
      <c r="AO19" s="823">
        <f>IF(ISNUMBER(FIND("06",Criterios!A8,1)),(IF(ISNUMBER(((Datos!R19/Datos!Q19)*11)/factor_trimestre),((Datos!R19/Datos!Q19)*11)/factor_trimestre," - ")),(IF(ISNUMBER(((Datos!L19/Datos!K19)*11)/factor_trimestre),((Datos!L19/Datos!K19)*11)/factor_trimestre," - ")))</f>
        <v>3.2221615720524017</v>
      </c>
      <c r="AP19" s="834" t="str">
        <f>IF(ISNUMBER(Datos!CI19/Datos!CJ19),Datos!CI19/Datos!CJ19," - ")</f>
        <v xml:space="preserve"> - </v>
      </c>
      <c r="AQ19" s="834">
        <f>IF(OR(ISNUMBER(FIND("01",Criterios!A8,1)),ISNUMBER(FIND("02",Criterios!A8,1)),ISNUMBER(FIND("03",Criterios!A8,1)),ISNUMBER(FIND("04",Criterios!A8,1))),(J19-Y19+K19)/(F19-K19),(I19-Y19+K19)/(F19-K19))</f>
        <v>-1.0708637469586375</v>
      </c>
      <c r="AR19" s="834">
        <f>IF(ISNUMBER((Datos!P19-Datos!Q19+O19)/(Datos!R19-Datos!P19+Datos!Q19-O19)),(Datos!P19-Datos!Q19+O19)/(Datos!R19-Datos!P19+Datos!Q19-O19)," - ")</f>
        <v>-9.4781161265054342E-2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1137.3333333333333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1757.1901433823261</v>
      </c>
      <c r="G21" s="552">
        <f>IF(ISNUMBER(STDEV(G8:G18)),STDEV(G8:G18),"-")</f>
        <v>1670.6485766511958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402.35094844462054</v>
      </c>
      <c r="AK21" s="252"/>
      <c r="AL21" s="252">
        <f>IF(ISNUMBER(STDEV(AL8:AL18)),STDEV(AL8:AL18),"-")</f>
        <v>0</v>
      </c>
      <c r="AM21" s="254">
        <f>IF(ISNUMBER(STDEV(AM8:AM18)),STDEV(AM8:AM18),"-")</f>
        <v>0</v>
      </c>
      <c r="AN21" s="539">
        <f>IF(ISNUMBER(STDEV(AN8:AN18)),STDEV(AN8:AN18),"-")</f>
        <v>0</v>
      </c>
      <c r="AO21" s="540">
        <f>IF(ISNUMBER(STDEV(AO8:AO18)),STDEV(AO8:AO18),"-")</f>
        <v>2.2036333586664596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kYD04hxge5ws9YOVEwiW2nlVMyDMHbue8kIUOs0WjrvsGdXHkAdOw4hVpY1AsFnOMzn5S3JPuM78ArIogZjyNQ==" saltValue="yIrd0M0Qk+a+RMSOgZyJ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fZvwteOs24C8/dKsWr43r9Y3s9ooPjL06yw73GkyF96FoYo4Hjd+xQFq+hZbuw5ueCFCV3A+tv8vuLH0qgvSw==" saltValue="7nDoaS4ZqZZTOK4HXHRn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0M9QwHehnRxTvyI6xdiaK89PnNEi+0qWvG8dHrbsFpQML9a71LywbZdaAsaZwKyc5Ax6urTwHMjomr/ePJzuw==" saltValue="JaSPAxXMrvGSHI8pEbtc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0.23393378773125609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0.16541616765342554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5UmHs7H+WcI9DcqiZWOLMmAMsiK1KudGoi8IEhRHha6X6zf8sJBUzCU2P0pA8GzhglM522dVkinxLO3m5NgJhQ==" saltValue="6gJRf66/ttR0t8pyBprtR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93aG0p/KXU4DXwzLHrnoVxzGwg2ncN2nOStRmFR0vpVxr4pnLTnWLEBfA7P2Ehz0EmhbB/P+I86mJHz91Vqh7Q==" saltValue="eA6BUVMLPbOCdiUzU8mR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GIRONA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66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7.7647058823529411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0</v>
      </c>
      <c r="AE13" s="939">
        <f t="shared" si="1"/>
        <v>0</v>
      </c>
      <c r="AF13" s="939">
        <f t="shared" si="1"/>
        <v>66</v>
      </c>
      <c r="AG13" s="939">
        <f t="shared" si="1"/>
        <v>0</v>
      </c>
      <c r="AH13" s="939">
        <f t="shared" si="1"/>
        <v>0</v>
      </c>
      <c r="AI13" s="939">
        <f t="shared" si="1"/>
        <v>0</v>
      </c>
      <c r="AJ13" s="939">
        <f t="shared" si="1"/>
        <v>0</v>
      </c>
      <c r="AK13" s="939">
        <f t="shared" si="1"/>
        <v>0</v>
      </c>
      <c r="AL13" s="939">
        <f t="shared" si="1"/>
        <v>3</v>
      </c>
      <c r="AM13" s="939">
        <f t="shared" si="1"/>
        <v>9</v>
      </c>
      <c r="AN13" s="939">
        <f t="shared" si="1"/>
        <v>0</v>
      </c>
      <c r="AO13" s="939">
        <f t="shared" si="1"/>
        <v>0</v>
      </c>
      <c r="AP13" s="944">
        <f>IF(ISNUMBER(((Datos!L13/Datos!K13)*11)/factor_trimestre),((Datos!L13/Datos!K13)*11)/factor_trimestre," - ")</f>
        <v>4.2949790794979084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-0.36170212765957449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2.0513698630136985</v>
      </c>
      <c r="AQ18" s="944">
        <f>IF(ISNUMBER(((Datos!M18/Datos!L18)*11)/factor_trimestre),((Datos!M18/Datos!L18)*11)/factor_trimestre," - ")</f>
        <v>0.31886477462437396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4.4378698224852069E-2</v>
      </c>
      <c r="AW18" s="946">
        <f>IF(ISNUMBER((Datos!Q18-Datos!R18)/(Datos!S18-Datos!Q18+Datos!R18)),(Datos!Q18-Datos!R18)/(Datos!S18-Datos!Q18+Datos!R18)," - ")</f>
        <v>-8.2082082082082078E-2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0</v>
      </c>
      <c r="AE19" s="957">
        <f t="shared" si="5"/>
        <v>0</v>
      </c>
      <c r="AF19" s="958">
        <f t="shared" si="5"/>
        <v>66</v>
      </c>
      <c r="AG19" s="958">
        <f t="shared" si="5"/>
        <v>0</v>
      </c>
      <c r="AH19" s="958">
        <f t="shared" si="5"/>
        <v>0</v>
      </c>
      <c r="AI19" s="958">
        <f t="shared" si="5"/>
        <v>0</v>
      </c>
      <c r="AJ19" s="959">
        <f t="shared" si="5"/>
        <v>0</v>
      </c>
      <c r="AK19" s="959">
        <f t="shared" si="5"/>
        <v>0</v>
      </c>
      <c r="AL19" s="951">
        <f t="shared" si="5"/>
        <v>3</v>
      </c>
      <c r="AM19" s="951">
        <f t="shared" si="5"/>
        <v>9</v>
      </c>
      <c r="AN19" s="951">
        <f t="shared" si="5"/>
        <v>0</v>
      </c>
      <c r="AO19" s="951">
        <f t="shared" si="5"/>
        <v>0</v>
      </c>
      <c r="AP19" s="951">
        <f>IF(ISNUMBER(((Datos!L19/Datos!K19)*11)/factor_trimestre),((Datos!L19/Datos!K19)*11)/factor_trimestre," - ")</f>
        <v>3.2221615720524017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-0.36170212765957449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-9.4781161265054342E-2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1.7320508075688772</v>
      </c>
      <c r="AM21" s="736"/>
      <c r="AN21" s="736">
        <f>IF(ISNUMBER(STDEV(AN8:AN18)),STDEV(AN8:AN18),"-")</f>
        <v>0</v>
      </c>
      <c r="AO21" s="742">
        <f>IF(ISNUMBER(STDEV(AO8:AO18)),STDEV(AO8:AO18),"-")</f>
        <v>0</v>
      </c>
      <c r="AP21" s="779">
        <f>IF(ISNUMBER(STDEV(AP8:AP18)),STDEV(AP8:AP18),"-")</f>
        <v>2.878512198822587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SPV0q1rOwXCA0U8z7LPh3nnDhkBjgb49zicrP4wlvQ2SB2Ox68OL9tRWMMRZmfKLYe7XjsdjUzN7ukdJqaUTg==" saltValue="rdAm5KF1KDshcWq6v5uh4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